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omments1.xml" ContentType="application/vnd.openxmlformats-officedocument.spreadsheetml.comments+xml"/>
  <Override PartName="/xl/drawings/drawing3.xml" ContentType="application/vnd.openxmlformats-officedocument.drawing+xml"/>
  <Override PartName="/xl/comments2.xml" ContentType="application/vnd.openxmlformats-officedocument.spreadsheetml.comments+xml"/>
  <Override PartName="/xl/drawings/drawing4.xml" ContentType="application/vnd.openxmlformats-officedocument.drawing+xml"/>
  <Override PartName="/xl/comments3.xml" ContentType="application/vnd.openxmlformats-officedocument.spreadsheetml.comments+xml"/>
  <Override PartName="/xl/drawings/drawing5.xml" ContentType="application/vnd.openxmlformats-officedocument.drawing+xml"/>
  <Override PartName="/xl/comments4.xml" ContentType="application/vnd.openxmlformats-officedocument.spreadsheetml.comments+xml"/>
  <Override PartName="/xl/drawings/drawing6.xml" ContentType="application/vnd.openxmlformats-officedocument.drawing+xml"/>
  <Override PartName="/xl/comments5.xml" ContentType="application/vnd.openxmlformats-officedocument.spreadsheetml.comments+xml"/>
  <Override PartName="/xl/drawings/drawing7.xml" ContentType="application/vnd.openxmlformats-officedocument.drawing+xml"/>
  <Override PartName="/xl/comments6.xml" ContentType="application/vnd.openxmlformats-officedocument.spreadsheetml.comments+xml"/>
  <Override PartName="/xl/drawings/drawing8.xml" ContentType="application/vnd.openxmlformats-officedocument.drawing+xml"/>
  <Override PartName="/xl/comments7.xml" ContentType="application/vnd.openxmlformats-officedocument.spreadsheetml.comments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drawings/drawing13.xml" ContentType="application/vnd.openxmlformats-officedocument.drawing+xml"/>
  <Override PartName="/xl/drawings/drawing14.xml" ContentType="application/vnd.openxmlformats-officedocument.drawing+xml"/>
  <Override PartName="/xl/drawings/drawing15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 tabRatio="876"/>
  </bookViews>
  <sheets>
    <sheet name="2m 5-15el 50Ohm" sheetId="2" r:id="rId1"/>
    <sheet name="2m 6-14el TL" sheetId="3" r:id="rId2"/>
    <sheet name="2m 7-15el TL" sheetId="4" r:id="rId3"/>
    <sheet name="2m 5-10el 50Ohm" sheetId="5" r:id="rId4"/>
    <sheet name="1.25m 5-10el 50Ohm" sheetId="6" r:id="rId5"/>
    <sheet name="70cm 6-14el TL" sheetId="7" r:id="rId6"/>
    <sheet name="70cm 7-15el TL" sheetId="8" r:id="rId7"/>
    <sheet name="70cm 5-10el 50Ohm" sheetId="9" r:id="rId8"/>
    <sheet name="HF 5el 50Ohm" sheetId="11" r:id="rId9"/>
    <sheet name="10m 5el 50Ohm" sheetId="10" r:id="rId10"/>
    <sheet name="UHF 5el 50Ohm" sheetId="12" r:id="rId11"/>
    <sheet name="2m 5el 50Ohm" sheetId="13" r:id="rId12"/>
    <sheet name="6m 5el 50Ohm" sheetId="14" r:id="rId13"/>
    <sheet name="6m LogPer" sheetId="15" r:id="rId14"/>
    <sheet name="2m LogPer" sheetId="16" r:id="rId15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U3" i="16" l="1"/>
  <c r="U4" i="16"/>
  <c r="U5" i="16" s="1"/>
  <c r="H11" i="16"/>
  <c r="M14" i="16"/>
  <c r="U15" i="16"/>
  <c r="U18" i="16"/>
  <c r="M26" i="16" s="1"/>
  <c r="N28" i="16"/>
  <c r="N34" i="16"/>
  <c r="U16" i="16" s="1"/>
  <c r="N43" i="16"/>
  <c r="U17" i="16" s="1"/>
  <c r="U3" i="15"/>
  <c r="U4" i="15"/>
  <c r="U5" i="15"/>
  <c r="M11" i="15" s="1"/>
  <c r="M12" i="15" s="1"/>
  <c r="U6" i="15"/>
  <c r="U7" i="15"/>
  <c r="U8" i="15"/>
  <c r="I48" i="15" s="1"/>
  <c r="U9" i="15"/>
  <c r="I25" i="15" s="1"/>
  <c r="U10" i="15"/>
  <c r="I22" i="15" s="1"/>
  <c r="H11" i="15"/>
  <c r="U11" i="15"/>
  <c r="U12" i="15"/>
  <c r="U13" i="15"/>
  <c r="I16" i="15" s="1"/>
  <c r="M14" i="15"/>
  <c r="U15" i="15"/>
  <c r="I18" i="15"/>
  <c r="N18" i="15"/>
  <c r="U18" i="15"/>
  <c r="M26" i="15" s="1"/>
  <c r="I20" i="15"/>
  <c r="N20" i="15"/>
  <c r="N28" i="15"/>
  <c r="I30" i="15"/>
  <c r="N34" i="15"/>
  <c r="U16" i="15" s="1"/>
  <c r="I37" i="15"/>
  <c r="N43" i="15"/>
  <c r="U17" i="15" s="1"/>
  <c r="I9" i="14"/>
  <c r="J9" i="14"/>
  <c r="I12" i="14"/>
  <c r="I13" i="14" s="1"/>
  <c r="J12" i="14"/>
  <c r="C16" i="14"/>
  <c r="F17" i="14"/>
  <c r="F20" i="14" s="1"/>
  <c r="C25" i="14" s="1"/>
  <c r="G17" i="14"/>
  <c r="G20" i="14" s="1"/>
  <c r="H33" i="14" s="1"/>
  <c r="I42" i="14" s="1"/>
  <c r="I17" i="14"/>
  <c r="J17" i="14" s="1"/>
  <c r="C18" i="14"/>
  <c r="I18" i="14"/>
  <c r="J18" i="14" s="1"/>
  <c r="F19" i="14"/>
  <c r="I19" i="14"/>
  <c r="J19" i="14"/>
  <c r="I20" i="14"/>
  <c r="J20" i="14" s="1"/>
  <c r="F21" i="14"/>
  <c r="F18" i="14" s="1"/>
  <c r="G21" i="14"/>
  <c r="G18" i="14" s="1"/>
  <c r="I21" i="14"/>
  <c r="J21" i="14"/>
  <c r="F22" i="14"/>
  <c r="C32" i="14" s="1"/>
  <c r="I22" i="14"/>
  <c r="J22" i="14" s="1"/>
  <c r="I29" i="14"/>
  <c r="I30" i="14"/>
  <c r="J35" i="14"/>
  <c r="G44" i="14"/>
  <c r="G45" i="14"/>
  <c r="G46" i="14"/>
  <c r="I9" i="13"/>
  <c r="J9" i="13" s="1"/>
  <c r="I12" i="13"/>
  <c r="I13" i="13" s="1"/>
  <c r="J12" i="13"/>
  <c r="C16" i="13"/>
  <c r="F17" i="13"/>
  <c r="F20" i="13" s="1"/>
  <c r="C25" i="13" s="1"/>
  <c r="I17" i="13"/>
  <c r="J17" i="13" s="1"/>
  <c r="C18" i="13"/>
  <c r="I18" i="13"/>
  <c r="J18" i="13"/>
  <c r="G35" i="13" s="1"/>
  <c r="I19" i="13"/>
  <c r="J19" i="13" s="1"/>
  <c r="J35" i="13" s="1"/>
  <c r="I20" i="13"/>
  <c r="J20" i="13"/>
  <c r="I21" i="13"/>
  <c r="J21" i="13" s="1"/>
  <c r="F22" i="13"/>
  <c r="C32" i="13" s="1"/>
  <c r="G22" i="13"/>
  <c r="I22" i="13"/>
  <c r="J22" i="13"/>
  <c r="I29" i="13"/>
  <c r="I30" i="13"/>
  <c r="G33" i="13"/>
  <c r="I33" i="13"/>
  <c r="J33" i="13"/>
  <c r="K33" i="13" s="1"/>
  <c r="G46" i="13"/>
  <c r="I9" i="12"/>
  <c r="J9" i="12" s="1"/>
  <c r="I12" i="12"/>
  <c r="I13" i="12" s="1"/>
  <c r="J12" i="12"/>
  <c r="C16" i="12"/>
  <c r="F17" i="12"/>
  <c r="F20" i="12" s="1"/>
  <c r="C25" i="12" s="1"/>
  <c r="I17" i="12"/>
  <c r="J17" i="12" s="1"/>
  <c r="C18" i="12"/>
  <c r="I18" i="12"/>
  <c r="J18" i="12"/>
  <c r="G35" i="12" s="1"/>
  <c r="I19" i="12"/>
  <c r="J19" i="12" s="1"/>
  <c r="J35" i="12" s="1"/>
  <c r="I20" i="12"/>
  <c r="J20" i="12"/>
  <c r="I21" i="12"/>
  <c r="J21" i="12" s="1"/>
  <c r="F22" i="12"/>
  <c r="C32" i="12" s="1"/>
  <c r="G22" i="12"/>
  <c r="G33" i="12" s="1"/>
  <c r="I22" i="12"/>
  <c r="J22" i="12"/>
  <c r="I29" i="12"/>
  <c r="I30" i="12"/>
  <c r="I33" i="12"/>
  <c r="J33" i="12"/>
  <c r="K33" i="12" s="1"/>
  <c r="G46" i="12"/>
  <c r="I9" i="11"/>
  <c r="J9" i="11"/>
  <c r="I12" i="11"/>
  <c r="I13" i="11" s="1"/>
  <c r="J12" i="11"/>
  <c r="C16" i="11"/>
  <c r="F17" i="11"/>
  <c r="F20" i="11" s="1"/>
  <c r="C25" i="11" s="1"/>
  <c r="G17" i="11"/>
  <c r="G20" i="11" s="1"/>
  <c r="H33" i="11" s="1"/>
  <c r="I42" i="11" s="1"/>
  <c r="I17" i="11"/>
  <c r="J17" i="11" s="1"/>
  <c r="C18" i="11"/>
  <c r="I18" i="11"/>
  <c r="J18" i="11"/>
  <c r="G35" i="11" s="1"/>
  <c r="G19" i="11"/>
  <c r="I19" i="11"/>
  <c r="J19" i="11"/>
  <c r="I20" i="11"/>
  <c r="J20" i="11"/>
  <c r="F21" i="11"/>
  <c r="G21" i="11"/>
  <c r="I21" i="11"/>
  <c r="J21" i="11"/>
  <c r="F22" i="11"/>
  <c r="C32" i="11" s="1"/>
  <c r="G22" i="11"/>
  <c r="I22" i="11"/>
  <c r="J22" i="11"/>
  <c r="I29" i="11"/>
  <c r="I30" i="11"/>
  <c r="G33" i="11"/>
  <c r="I33" i="11"/>
  <c r="J33" i="11"/>
  <c r="K33" i="11" s="1"/>
  <c r="J35" i="11"/>
  <c r="G44" i="11"/>
  <c r="G45" i="11"/>
  <c r="G46" i="11"/>
  <c r="I9" i="10"/>
  <c r="J9" i="10"/>
  <c r="I12" i="10"/>
  <c r="I13" i="10" s="1"/>
  <c r="J12" i="10"/>
  <c r="C16" i="10"/>
  <c r="F17" i="10"/>
  <c r="F20" i="10" s="1"/>
  <c r="C25" i="10" s="1"/>
  <c r="G17" i="10"/>
  <c r="G20" i="10" s="1"/>
  <c r="H33" i="10" s="1"/>
  <c r="I42" i="10" s="1"/>
  <c r="I17" i="10"/>
  <c r="J17" i="10" s="1"/>
  <c r="C18" i="10"/>
  <c r="I18" i="10"/>
  <c r="J18" i="10"/>
  <c r="G35" i="10" s="1"/>
  <c r="I19" i="10"/>
  <c r="J19" i="10"/>
  <c r="I20" i="10"/>
  <c r="J20" i="10"/>
  <c r="F21" i="10"/>
  <c r="F18" i="10" s="1"/>
  <c r="G21" i="10"/>
  <c r="I21" i="10"/>
  <c r="J21" i="10"/>
  <c r="F22" i="10"/>
  <c r="G22" i="10"/>
  <c r="I22" i="10"/>
  <c r="J22" i="10"/>
  <c r="I29" i="10"/>
  <c r="I30" i="10"/>
  <c r="C32" i="10"/>
  <c r="G33" i="10"/>
  <c r="I33" i="10"/>
  <c r="J33" i="10"/>
  <c r="K33" i="10" s="1"/>
  <c r="J35" i="10"/>
  <c r="G44" i="10"/>
  <c r="G45" i="10"/>
  <c r="G46" i="10"/>
  <c r="H8" i="9"/>
  <c r="I8" i="9"/>
  <c r="H11" i="9"/>
  <c r="H12" i="9" s="1"/>
  <c r="I11" i="9"/>
  <c r="I15" i="9" s="1"/>
  <c r="O16" i="9" s="1"/>
  <c r="E16" i="9"/>
  <c r="E20" i="9" s="1"/>
  <c r="F16" i="9"/>
  <c r="F20" i="9" s="1"/>
  <c r="H16" i="9"/>
  <c r="I16" i="9"/>
  <c r="H17" i="9"/>
  <c r="I17" i="9"/>
  <c r="G30" i="9" s="1"/>
  <c r="H18" i="9"/>
  <c r="I18" i="9" s="1"/>
  <c r="F19" i="9"/>
  <c r="F28" i="9" s="1"/>
  <c r="M40" i="9" s="1"/>
  <c r="H19" i="9"/>
  <c r="I19" i="9"/>
  <c r="H20" i="9"/>
  <c r="I20" i="9"/>
  <c r="E21" i="9"/>
  <c r="F21" i="9"/>
  <c r="H28" i="9" s="1"/>
  <c r="H21" i="9"/>
  <c r="I21" i="9"/>
  <c r="H26" i="9"/>
  <c r="F30" i="9"/>
  <c r="O35" i="9"/>
  <c r="O39" i="9"/>
  <c r="F41" i="9"/>
  <c r="F42" i="9"/>
  <c r="I9" i="8"/>
  <c r="J9" i="8"/>
  <c r="I12" i="8"/>
  <c r="J12" i="8"/>
  <c r="I13" i="8"/>
  <c r="I14" i="8" s="1"/>
  <c r="J13" i="8"/>
  <c r="I15" i="8"/>
  <c r="J15" i="8"/>
  <c r="I16" i="8"/>
  <c r="J16" i="8" s="1"/>
  <c r="F17" i="8"/>
  <c r="F20" i="8" s="1"/>
  <c r="G17" i="8"/>
  <c r="G22" i="8" s="1"/>
  <c r="I17" i="8"/>
  <c r="J17" i="8"/>
  <c r="P17" i="8" s="1"/>
  <c r="I18" i="8"/>
  <c r="J18" i="8"/>
  <c r="J31" i="8" s="1"/>
  <c r="P32" i="8" s="1"/>
  <c r="I19" i="8"/>
  <c r="J19" i="8" s="1"/>
  <c r="G20" i="8"/>
  <c r="I20" i="8"/>
  <c r="J20" i="8" s="1"/>
  <c r="H31" i="8" s="1"/>
  <c r="P37" i="8" s="1"/>
  <c r="G21" i="8"/>
  <c r="I21" i="8"/>
  <c r="J21" i="8"/>
  <c r="F22" i="8"/>
  <c r="F18" i="8" s="1"/>
  <c r="I22" i="8"/>
  <c r="J22" i="8" s="1"/>
  <c r="I27" i="8"/>
  <c r="G29" i="8"/>
  <c r="N40" i="8" s="1"/>
  <c r="H29" i="8"/>
  <c r="I29" i="8"/>
  <c r="J29" i="8" s="1"/>
  <c r="I31" i="8"/>
  <c r="P35" i="8" s="1"/>
  <c r="N36" i="8"/>
  <c r="I37" i="8"/>
  <c r="N38" i="8"/>
  <c r="I8" i="7"/>
  <c r="I11" i="7" s="1"/>
  <c r="J8" i="7"/>
  <c r="F16" i="7"/>
  <c r="F20" i="7" s="1"/>
  <c r="G16" i="7"/>
  <c r="G20" i="7" s="1"/>
  <c r="I19" i="7"/>
  <c r="J19" i="7" s="1"/>
  <c r="I26" i="7"/>
  <c r="H8" i="6"/>
  <c r="I8" i="6" s="1"/>
  <c r="H11" i="6"/>
  <c r="H12" i="6" s="1"/>
  <c r="I11" i="6"/>
  <c r="I15" i="6" s="1"/>
  <c r="O16" i="6" s="1"/>
  <c r="E16" i="6"/>
  <c r="E20" i="6" s="1"/>
  <c r="F16" i="6"/>
  <c r="F20" i="6" s="1"/>
  <c r="H16" i="6"/>
  <c r="I16" i="6"/>
  <c r="H17" i="6"/>
  <c r="I17" i="6"/>
  <c r="G30" i="6" s="1"/>
  <c r="H18" i="6"/>
  <c r="I18" i="6" s="1"/>
  <c r="F19" i="6"/>
  <c r="F28" i="6" s="1"/>
  <c r="M40" i="6" s="1"/>
  <c r="H19" i="6"/>
  <c r="I19" i="6"/>
  <c r="H20" i="6"/>
  <c r="I20" i="6"/>
  <c r="E21" i="6"/>
  <c r="F21" i="6"/>
  <c r="H28" i="6" s="1"/>
  <c r="H21" i="6"/>
  <c r="I21" i="6"/>
  <c r="H26" i="6"/>
  <c r="F30" i="6"/>
  <c r="O35" i="6"/>
  <c r="O37" i="6"/>
  <c r="M38" i="6"/>
  <c r="F39" i="6"/>
  <c r="O39" i="6"/>
  <c r="F40" i="6"/>
  <c r="H8" i="5"/>
  <c r="I8" i="5"/>
  <c r="H11" i="5"/>
  <c r="H12" i="5" s="1"/>
  <c r="I11" i="5"/>
  <c r="I15" i="5" s="1"/>
  <c r="O16" i="5" s="1"/>
  <c r="E16" i="5"/>
  <c r="E20" i="5" s="1"/>
  <c r="F16" i="5"/>
  <c r="F20" i="5" s="1"/>
  <c r="H16" i="5"/>
  <c r="I16" i="5"/>
  <c r="H17" i="5"/>
  <c r="I17" i="5"/>
  <c r="G30" i="5" s="1"/>
  <c r="H18" i="5"/>
  <c r="I18" i="5" s="1"/>
  <c r="F19" i="5"/>
  <c r="F28" i="5" s="1"/>
  <c r="M40" i="5" s="1"/>
  <c r="H19" i="5"/>
  <c r="I19" i="5"/>
  <c r="H20" i="5"/>
  <c r="I20" i="5"/>
  <c r="E21" i="5"/>
  <c r="F21" i="5"/>
  <c r="H28" i="5" s="1"/>
  <c r="H21" i="5"/>
  <c r="I21" i="5"/>
  <c r="H26" i="5"/>
  <c r="F30" i="5"/>
  <c r="O35" i="5"/>
  <c r="O39" i="5"/>
  <c r="F41" i="5"/>
  <c r="F42" i="5"/>
  <c r="I9" i="4"/>
  <c r="I16" i="4" s="1"/>
  <c r="J16" i="4" s="1"/>
  <c r="J9" i="4"/>
  <c r="I12" i="4"/>
  <c r="J12" i="4"/>
  <c r="I13" i="4"/>
  <c r="I14" i="4" s="1"/>
  <c r="J13" i="4"/>
  <c r="I15" i="4"/>
  <c r="J15" i="4"/>
  <c r="F17" i="4"/>
  <c r="F20" i="4" s="1"/>
  <c r="G17" i="4"/>
  <c r="G22" i="4" s="1"/>
  <c r="I17" i="4"/>
  <c r="J17" i="4"/>
  <c r="P17" i="4" s="1"/>
  <c r="I18" i="4"/>
  <c r="J18" i="4"/>
  <c r="J31" i="4" s="1"/>
  <c r="P32" i="4" s="1"/>
  <c r="I19" i="4"/>
  <c r="J19" i="4" s="1"/>
  <c r="G20" i="4"/>
  <c r="I20" i="4"/>
  <c r="J20" i="4" s="1"/>
  <c r="H31" i="4" s="1"/>
  <c r="P37" i="4" s="1"/>
  <c r="G21" i="4"/>
  <c r="F22" i="4"/>
  <c r="F18" i="4" s="1"/>
  <c r="I22" i="4"/>
  <c r="J22" i="4" s="1"/>
  <c r="I27" i="4"/>
  <c r="G29" i="4"/>
  <c r="N40" i="4" s="1"/>
  <c r="H29" i="4"/>
  <c r="I29" i="4"/>
  <c r="J29" i="4" s="1"/>
  <c r="I31" i="4"/>
  <c r="P35" i="4" s="1"/>
  <c r="I37" i="4"/>
  <c r="N38" i="4"/>
  <c r="I8" i="3"/>
  <c r="I11" i="3" s="1"/>
  <c r="J8" i="3"/>
  <c r="F16" i="3"/>
  <c r="F19" i="3" s="1"/>
  <c r="G16" i="3"/>
  <c r="G20" i="3" s="1"/>
  <c r="I17" i="3"/>
  <c r="J17" i="3"/>
  <c r="P25" i="3" s="1"/>
  <c r="I19" i="3"/>
  <c r="J19" i="3" s="1"/>
  <c r="I26" i="3"/>
  <c r="P4" i="2"/>
  <c r="I8" i="2"/>
  <c r="J8" i="2"/>
  <c r="I9" i="2"/>
  <c r="J9" i="2"/>
  <c r="I11" i="2"/>
  <c r="J11" i="2"/>
  <c r="I12" i="2"/>
  <c r="J12" i="2"/>
  <c r="I13" i="2"/>
  <c r="J13" i="2" s="1"/>
  <c r="I14" i="2"/>
  <c r="J14" i="2"/>
  <c r="I15" i="2"/>
  <c r="J15" i="2"/>
  <c r="F16" i="2"/>
  <c r="G16" i="2"/>
  <c r="G39" i="2" s="1"/>
  <c r="I16" i="2"/>
  <c r="J16" i="2"/>
  <c r="P7" i="2" s="1"/>
  <c r="P16" i="2"/>
  <c r="I17" i="2"/>
  <c r="J17" i="2"/>
  <c r="F18" i="2"/>
  <c r="G18" i="2"/>
  <c r="I18" i="2"/>
  <c r="J18" i="2"/>
  <c r="G30" i="2" s="1"/>
  <c r="F19" i="2"/>
  <c r="F17" i="2" s="1"/>
  <c r="I19" i="2"/>
  <c r="J19" i="2"/>
  <c r="H30" i="2" s="1"/>
  <c r="P36" i="2" s="1"/>
  <c r="P19" i="2"/>
  <c r="G20" i="2"/>
  <c r="G28" i="2" s="1"/>
  <c r="N39" i="2" s="1"/>
  <c r="I20" i="2"/>
  <c r="J20" i="2"/>
  <c r="F21" i="2"/>
  <c r="G21" i="2"/>
  <c r="I21" i="2"/>
  <c r="J21" i="2"/>
  <c r="P22" i="2"/>
  <c r="G24" i="2"/>
  <c r="G19" i="2" s="1"/>
  <c r="I26" i="2"/>
  <c r="P28" i="2"/>
  <c r="I30" i="2"/>
  <c r="P34" i="2" s="1"/>
  <c r="J30" i="2"/>
  <c r="P31" i="2"/>
  <c r="N37" i="2"/>
  <c r="G38" i="2"/>
  <c r="G40" i="2"/>
  <c r="M11" i="16" l="1"/>
  <c r="M12" i="16" s="1"/>
  <c r="U11" i="16"/>
  <c r="U13" i="16"/>
  <c r="U10" i="16"/>
  <c r="U6" i="16"/>
  <c r="I30" i="16" s="1"/>
  <c r="U7" i="16"/>
  <c r="I37" i="16" s="1"/>
  <c r="U12" i="16"/>
  <c r="U8" i="16"/>
  <c r="I48" i="16" s="1"/>
  <c r="U9" i="16"/>
  <c r="N19" i="15"/>
  <c r="N23" i="15"/>
  <c r="U19" i="15" s="1"/>
  <c r="N17" i="15"/>
  <c r="N21" i="15"/>
  <c r="N22" i="15"/>
  <c r="N25" i="15"/>
  <c r="N16" i="15"/>
  <c r="J13" i="14"/>
  <c r="I10" i="14"/>
  <c r="J10" i="14" s="1"/>
  <c r="I14" i="14"/>
  <c r="G35" i="14"/>
  <c r="H35" i="14"/>
  <c r="I35" i="14"/>
  <c r="G19" i="14"/>
  <c r="G22" i="14"/>
  <c r="J13" i="13"/>
  <c r="I10" i="13"/>
  <c r="J10" i="13" s="1"/>
  <c r="I14" i="13"/>
  <c r="F21" i="13"/>
  <c r="G17" i="13"/>
  <c r="I35" i="13"/>
  <c r="H35" i="13"/>
  <c r="I32" i="13" s="1"/>
  <c r="G32" i="13" s="1"/>
  <c r="J13" i="12"/>
  <c r="I10" i="12"/>
  <c r="J10" i="12" s="1"/>
  <c r="I14" i="12"/>
  <c r="F21" i="12"/>
  <c r="G17" i="12"/>
  <c r="I35" i="12"/>
  <c r="H35" i="12"/>
  <c r="I32" i="12" s="1"/>
  <c r="G32" i="12" s="1"/>
  <c r="J13" i="11"/>
  <c r="I10" i="11"/>
  <c r="J10" i="11" s="1"/>
  <c r="I14" i="11"/>
  <c r="G18" i="11"/>
  <c r="F18" i="11"/>
  <c r="F19" i="11"/>
  <c r="I35" i="11"/>
  <c r="H35" i="11"/>
  <c r="I32" i="11" s="1"/>
  <c r="G32" i="11" s="1"/>
  <c r="J13" i="10"/>
  <c r="I10" i="10"/>
  <c r="J10" i="10" s="1"/>
  <c r="I14" i="10"/>
  <c r="G18" i="10"/>
  <c r="G19" i="10"/>
  <c r="F19" i="10"/>
  <c r="I35" i="10"/>
  <c r="H35" i="10"/>
  <c r="I32" i="10" s="1"/>
  <c r="G32" i="10" s="1"/>
  <c r="P13" i="9"/>
  <c r="E17" i="9"/>
  <c r="E18" i="9"/>
  <c r="I12" i="9"/>
  <c r="I14" i="9" s="1"/>
  <c r="H9" i="9"/>
  <c r="I9" i="9" s="1"/>
  <c r="H14" i="9"/>
  <c r="H13" i="9"/>
  <c r="F17" i="9"/>
  <c r="F18" i="9"/>
  <c r="O31" i="9"/>
  <c r="P31" i="9" s="1"/>
  <c r="I30" i="9"/>
  <c r="M36" i="9"/>
  <c r="I28" i="9"/>
  <c r="M38" i="9"/>
  <c r="G28" i="9"/>
  <c r="H39" i="9" s="1"/>
  <c r="E19" i="9"/>
  <c r="O37" i="9"/>
  <c r="H30" i="9"/>
  <c r="H27" i="9" s="1"/>
  <c r="F27" i="9" s="1"/>
  <c r="I11" i="8"/>
  <c r="J11" i="8" s="1"/>
  <c r="J14" i="8"/>
  <c r="G18" i="8"/>
  <c r="G19" i="8"/>
  <c r="G31" i="8"/>
  <c r="P39" i="8"/>
  <c r="N34" i="8"/>
  <c r="K29" i="8"/>
  <c r="P26" i="8"/>
  <c r="I10" i="8"/>
  <c r="J10" i="8" s="1"/>
  <c r="P5" i="8"/>
  <c r="P29" i="8"/>
  <c r="K31" i="8" s="1"/>
  <c r="P11" i="8"/>
  <c r="P2" i="8"/>
  <c r="P23" i="8"/>
  <c r="P8" i="8"/>
  <c r="F19" i="8"/>
  <c r="P14" i="8"/>
  <c r="P20" i="8"/>
  <c r="G18" i="7"/>
  <c r="J30" i="7"/>
  <c r="P31" i="7" s="1"/>
  <c r="I30" i="7"/>
  <c r="P34" i="7" s="1"/>
  <c r="F18" i="7"/>
  <c r="F17" i="7"/>
  <c r="J11" i="7"/>
  <c r="I12" i="7"/>
  <c r="F19" i="7"/>
  <c r="I20" i="7"/>
  <c r="J20" i="7" s="1"/>
  <c r="H30" i="7" s="1"/>
  <c r="P36" i="7" s="1"/>
  <c r="I17" i="7"/>
  <c r="J17" i="7" s="1"/>
  <c r="P25" i="7" s="1"/>
  <c r="I18" i="7"/>
  <c r="J18" i="7" s="1"/>
  <c r="G30" i="7" s="1"/>
  <c r="I15" i="7"/>
  <c r="J15" i="7" s="1"/>
  <c r="P22" i="7" s="1"/>
  <c r="G19" i="7"/>
  <c r="I16" i="7"/>
  <c r="J16" i="7" s="1"/>
  <c r="I14" i="7"/>
  <c r="J14" i="7" s="1"/>
  <c r="F17" i="6"/>
  <c r="F18" i="6"/>
  <c r="E17" i="6"/>
  <c r="E18" i="6"/>
  <c r="P13" i="6"/>
  <c r="O31" i="6"/>
  <c r="P31" i="6" s="1"/>
  <c r="I30" i="6"/>
  <c r="H14" i="6"/>
  <c r="I12" i="6"/>
  <c r="I14" i="6" s="1"/>
  <c r="H9" i="6"/>
  <c r="I9" i="6" s="1"/>
  <c r="H13" i="6"/>
  <c r="M36" i="6"/>
  <c r="I28" i="6"/>
  <c r="G28" i="6"/>
  <c r="H37" i="6" s="1"/>
  <c r="E19" i="6"/>
  <c r="H30" i="6"/>
  <c r="H27" i="6" s="1"/>
  <c r="F27" i="6" s="1"/>
  <c r="E18" i="5"/>
  <c r="I12" i="5"/>
  <c r="I14" i="5" s="1"/>
  <c r="H9" i="5"/>
  <c r="I9" i="5" s="1"/>
  <c r="H13" i="5"/>
  <c r="H14" i="5"/>
  <c r="F17" i="5"/>
  <c r="F18" i="5"/>
  <c r="P13" i="5"/>
  <c r="I30" i="5"/>
  <c r="O31" i="5"/>
  <c r="P31" i="5" s="1"/>
  <c r="M36" i="5"/>
  <c r="I28" i="5"/>
  <c r="M38" i="5"/>
  <c r="G28" i="5"/>
  <c r="H39" i="5" s="1"/>
  <c r="E19" i="5"/>
  <c r="E17" i="5" s="1"/>
  <c r="O37" i="5"/>
  <c r="H30" i="5"/>
  <c r="H27" i="5" s="1"/>
  <c r="F27" i="5" s="1"/>
  <c r="K29" i="4"/>
  <c r="N34" i="4"/>
  <c r="I11" i="4"/>
  <c r="J11" i="4" s="1"/>
  <c r="J14" i="4"/>
  <c r="G18" i="4"/>
  <c r="G19" i="4"/>
  <c r="P39" i="4"/>
  <c r="G31" i="4"/>
  <c r="P26" i="4"/>
  <c r="I10" i="4"/>
  <c r="J10" i="4" s="1"/>
  <c r="P5" i="4"/>
  <c r="P11" i="4"/>
  <c r="P2" i="4"/>
  <c r="N36" i="4"/>
  <c r="P23" i="4"/>
  <c r="I21" i="4"/>
  <c r="J21" i="4" s="1"/>
  <c r="P8" i="4"/>
  <c r="F19" i="4"/>
  <c r="P29" i="4"/>
  <c r="K31" i="4" s="1"/>
  <c r="P14" i="4"/>
  <c r="P20" i="4"/>
  <c r="I30" i="3"/>
  <c r="P34" i="3" s="1"/>
  <c r="J30" i="3"/>
  <c r="P31" i="3" s="1"/>
  <c r="G18" i="3"/>
  <c r="I12" i="3"/>
  <c r="J11" i="3"/>
  <c r="G19" i="3"/>
  <c r="I20" i="3"/>
  <c r="J20" i="3" s="1"/>
  <c r="H30" i="3" s="1"/>
  <c r="P36" i="3" s="1"/>
  <c r="F20" i="3"/>
  <c r="I18" i="3"/>
  <c r="J18" i="3" s="1"/>
  <c r="G30" i="3" s="1"/>
  <c r="I15" i="3"/>
  <c r="J15" i="3" s="1"/>
  <c r="P22" i="3" s="1"/>
  <c r="I16" i="3"/>
  <c r="J16" i="3" s="1"/>
  <c r="I14" i="3"/>
  <c r="J14" i="3" s="1"/>
  <c r="I28" i="2"/>
  <c r="G17" i="2"/>
  <c r="L32" i="2"/>
  <c r="G27" i="2"/>
  <c r="I27" i="2"/>
  <c r="I10" i="2"/>
  <c r="J10" i="2" s="1"/>
  <c r="P13" i="2"/>
  <c r="P2" i="2"/>
  <c r="Q30" i="2"/>
  <c r="H28" i="2"/>
  <c r="I36" i="2" s="1"/>
  <c r="P10" i="2"/>
  <c r="L7" i="2" s="1"/>
  <c r="L31" i="2"/>
  <c r="P25" i="2"/>
  <c r="P38" i="2"/>
  <c r="I22" i="16" l="1"/>
  <c r="N22" i="16"/>
  <c r="I16" i="16"/>
  <c r="N16" i="16"/>
  <c r="I20" i="16"/>
  <c r="N20" i="16"/>
  <c r="I25" i="16"/>
  <c r="N25" i="16"/>
  <c r="N19" i="16"/>
  <c r="N23" i="16"/>
  <c r="N17" i="16"/>
  <c r="N21" i="16"/>
  <c r="I18" i="16"/>
  <c r="N18" i="16"/>
  <c r="I32" i="14"/>
  <c r="G32" i="14" s="1"/>
  <c r="J14" i="14"/>
  <c r="I11" i="14"/>
  <c r="J11" i="14" s="1"/>
  <c r="I33" i="14"/>
  <c r="J33" i="14" s="1"/>
  <c r="K33" i="14" s="1"/>
  <c r="G33" i="14"/>
  <c r="F18" i="13"/>
  <c r="F19" i="13"/>
  <c r="J14" i="13"/>
  <c r="I11" i="13"/>
  <c r="J11" i="13" s="1"/>
  <c r="G20" i="13"/>
  <c r="H33" i="13" s="1"/>
  <c r="I42" i="13" s="1"/>
  <c r="G44" i="13"/>
  <c r="G21" i="13"/>
  <c r="G45" i="13"/>
  <c r="G20" i="12"/>
  <c r="H33" i="12" s="1"/>
  <c r="I42" i="12" s="1"/>
  <c r="G44" i="12"/>
  <c r="G21" i="12"/>
  <c r="G45" i="12"/>
  <c r="J14" i="12"/>
  <c r="I11" i="12"/>
  <c r="J11" i="12" s="1"/>
  <c r="F18" i="12"/>
  <c r="F19" i="12"/>
  <c r="J14" i="11"/>
  <c r="I11" i="11"/>
  <c r="J11" i="11" s="1"/>
  <c r="J14" i="10"/>
  <c r="I11" i="10"/>
  <c r="J11" i="10" s="1"/>
  <c r="J28" i="9"/>
  <c r="M34" i="9"/>
  <c r="O22" i="9"/>
  <c r="O25" i="9"/>
  <c r="O19" i="9"/>
  <c r="O28" i="9"/>
  <c r="H15" i="9"/>
  <c r="I13" i="9"/>
  <c r="H10" i="9"/>
  <c r="I10" i="9" s="1"/>
  <c r="Q7" i="8"/>
  <c r="L8" i="8"/>
  <c r="L9" i="8"/>
  <c r="Q1" i="8"/>
  <c r="L2" i="8"/>
  <c r="L4" i="8"/>
  <c r="Q19" i="8"/>
  <c r="L21" i="8"/>
  <c r="L20" i="8"/>
  <c r="M28" i="8"/>
  <c r="N31" i="8"/>
  <c r="L15" i="8"/>
  <c r="Q13" i="8"/>
  <c r="L14" i="8"/>
  <c r="I28" i="8"/>
  <c r="L27" i="8"/>
  <c r="L31" i="8"/>
  <c r="L26" i="8"/>
  <c r="G28" i="8" s="1"/>
  <c r="Q25" i="8"/>
  <c r="I9" i="7"/>
  <c r="J9" i="7" s="1"/>
  <c r="J12" i="7"/>
  <c r="I13" i="7"/>
  <c r="P10" i="7"/>
  <c r="P19" i="7"/>
  <c r="P4" i="7"/>
  <c r="P16" i="7"/>
  <c r="K30" i="7"/>
  <c r="P28" i="7" s="1"/>
  <c r="Q27" i="7" s="1"/>
  <c r="P7" i="7"/>
  <c r="P13" i="7"/>
  <c r="G28" i="7"/>
  <c r="N39" i="7" s="1"/>
  <c r="H28" i="7"/>
  <c r="N37" i="7"/>
  <c r="P38" i="7"/>
  <c r="G17" i="7"/>
  <c r="Q21" i="7"/>
  <c r="O22" i="6"/>
  <c r="O28" i="6"/>
  <c r="O25" i="6"/>
  <c r="P25" i="6" s="1"/>
  <c r="O19" i="6"/>
  <c r="M33" i="6"/>
  <c r="J28" i="6"/>
  <c r="H15" i="6"/>
  <c r="H10" i="6"/>
  <c r="I10" i="6" s="1"/>
  <c r="I13" i="6"/>
  <c r="H15" i="5"/>
  <c r="H10" i="5"/>
  <c r="I10" i="5" s="1"/>
  <c r="I13" i="5"/>
  <c r="O22" i="5"/>
  <c r="O25" i="5"/>
  <c r="P25" i="5" s="1"/>
  <c r="O19" i="5"/>
  <c r="O28" i="5"/>
  <c r="J28" i="5"/>
  <c r="M34" i="5"/>
  <c r="L21" i="4"/>
  <c r="L20" i="4"/>
  <c r="Q19" i="4"/>
  <c r="L15" i="4"/>
  <c r="Q13" i="4"/>
  <c r="L14" i="4"/>
  <c r="Q1" i="4"/>
  <c r="L2" i="4"/>
  <c r="L4" i="4"/>
  <c r="Q7" i="4"/>
  <c r="L8" i="4"/>
  <c r="L9" i="4"/>
  <c r="L27" i="4"/>
  <c r="L26" i="4"/>
  <c r="G28" i="4" s="1"/>
  <c r="L31" i="4"/>
  <c r="I28" i="4" s="1"/>
  <c r="Q25" i="4"/>
  <c r="M28" i="4"/>
  <c r="N31" i="4"/>
  <c r="G28" i="3"/>
  <c r="N39" i="3" s="1"/>
  <c r="N37" i="3"/>
  <c r="H28" i="3"/>
  <c r="Q21" i="3"/>
  <c r="I9" i="3"/>
  <c r="J9" i="3" s="1"/>
  <c r="J12" i="3"/>
  <c r="I13" i="3"/>
  <c r="P7" i="3"/>
  <c r="P19" i="3"/>
  <c r="P13" i="3"/>
  <c r="P4" i="3"/>
  <c r="P16" i="3"/>
  <c r="K30" i="3"/>
  <c r="P28" i="3" s="1"/>
  <c r="Q27" i="3" s="1"/>
  <c r="P10" i="3"/>
  <c r="G17" i="3"/>
  <c r="P38" i="3"/>
  <c r="F18" i="3"/>
  <c r="F17" i="3"/>
  <c r="L13" i="2"/>
  <c r="L14" i="2"/>
  <c r="L26" i="2"/>
  <c r="Q24" i="2"/>
  <c r="L25" i="2"/>
  <c r="L8" i="2"/>
  <c r="L20" i="2"/>
  <c r="L2" i="2"/>
  <c r="L3" i="2"/>
  <c r="L19" i="2"/>
  <c r="N35" i="2"/>
  <c r="J28" i="2"/>
  <c r="U19" i="16" l="1"/>
  <c r="G18" i="13"/>
  <c r="G19" i="13"/>
  <c r="G19" i="12"/>
  <c r="G18" i="12"/>
  <c r="P19" i="9"/>
  <c r="K15" i="9"/>
  <c r="K17" i="9" s="1"/>
  <c r="P25" i="9"/>
  <c r="M27" i="9"/>
  <c r="M24" i="9"/>
  <c r="M30" i="9"/>
  <c r="N25" i="8"/>
  <c r="N28" i="8"/>
  <c r="L29" i="8" s="1"/>
  <c r="I27" i="7"/>
  <c r="G27" i="7"/>
  <c r="Q3" i="7"/>
  <c r="L4" i="7"/>
  <c r="I28" i="7"/>
  <c r="I36" i="7"/>
  <c r="L10" i="7"/>
  <c r="Q9" i="7"/>
  <c r="L21" i="7"/>
  <c r="J13" i="7"/>
  <c r="I10" i="7"/>
  <c r="J10" i="7" s="1"/>
  <c r="L16" i="7"/>
  <c r="Q15" i="7"/>
  <c r="M27" i="6"/>
  <c r="M24" i="6"/>
  <c r="M30" i="6"/>
  <c r="P19" i="6"/>
  <c r="K15" i="6"/>
  <c r="K17" i="6" s="1"/>
  <c r="M27" i="5"/>
  <c r="M24" i="5"/>
  <c r="M30" i="5"/>
  <c r="P19" i="5"/>
  <c r="K15" i="5"/>
  <c r="K17" i="5" s="1"/>
  <c r="N25" i="4"/>
  <c r="N28" i="4"/>
  <c r="L29" i="4" s="1"/>
  <c r="I10" i="3"/>
  <c r="J10" i="3" s="1"/>
  <c r="J13" i="3"/>
  <c r="L10" i="3"/>
  <c r="Q9" i="3"/>
  <c r="L16" i="3"/>
  <c r="Q15" i="3"/>
  <c r="L4" i="3"/>
  <c r="Q3" i="3"/>
  <c r="L21" i="3"/>
  <c r="I27" i="3"/>
  <c r="I28" i="3"/>
  <c r="I36" i="3"/>
  <c r="G27" i="3"/>
  <c r="N33" i="2"/>
  <c r="K28" i="2"/>
  <c r="M21" i="9" l="1"/>
  <c r="M18" i="9"/>
  <c r="M12" i="9"/>
  <c r="N22" i="8"/>
  <c r="M29" i="8"/>
  <c r="N35" i="7"/>
  <c r="J28" i="7"/>
  <c r="M21" i="6"/>
  <c r="M18" i="6"/>
  <c r="M12" i="6"/>
  <c r="M21" i="5"/>
  <c r="M18" i="5"/>
  <c r="M12" i="5"/>
  <c r="N22" i="4"/>
  <c r="M29" i="4"/>
  <c r="N35" i="3"/>
  <c r="J28" i="3"/>
  <c r="N30" i="2"/>
  <c r="M28" i="2"/>
  <c r="N1" i="8" l="1"/>
  <c r="N10" i="8"/>
  <c r="N13" i="8"/>
  <c r="N19" i="8"/>
  <c r="N16" i="8"/>
  <c r="N4" i="8"/>
  <c r="N7" i="8"/>
  <c r="N33" i="7"/>
  <c r="K28" i="7"/>
  <c r="N1" i="4"/>
  <c r="N10" i="4"/>
  <c r="N13" i="4"/>
  <c r="N19" i="4"/>
  <c r="N4" i="4"/>
  <c r="N7" i="4"/>
  <c r="N16" i="4"/>
  <c r="K28" i="3"/>
  <c r="N33" i="3"/>
  <c r="N24" i="2"/>
  <c r="N21" i="2" s="1"/>
  <c r="N27" i="2"/>
  <c r="M28" i="7" l="1"/>
  <c r="N30" i="7"/>
  <c r="M28" i="3"/>
  <c r="N30" i="3"/>
  <c r="N1" i="2"/>
  <c r="N15" i="2"/>
  <c r="N6" i="2"/>
  <c r="N18" i="2"/>
  <c r="N3" i="2"/>
  <c r="N12" i="2"/>
  <c r="N9" i="2"/>
  <c r="N27" i="7" l="1"/>
  <c r="N24" i="7"/>
  <c r="N21" i="7" s="1"/>
  <c r="N24" i="3"/>
  <c r="N21" i="3" s="1"/>
  <c r="N27" i="3"/>
  <c r="N3" i="7" l="1"/>
  <c r="N9" i="7"/>
  <c r="N6" i="7"/>
  <c r="N12" i="7"/>
  <c r="N15" i="7"/>
  <c r="N18" i="7"/>
  <c r="N3" i="3"/>
  <c r="N9" i="3"/>
  <c r="N6" i="3"/>
  <c r="N12" i="3"/>
  <c r="N15" i="3"/>
  <c r="N18" i="3"/>
</calcChain>
</file>

<file path=xl/comments1.xml><?xml version="1.0" encoding="utf-8"?>
<comments xmlns="http://schemas.openxmlformats.org/spreadsheetml/2006/main">
  <authors>
    <author>Author</author>
  </authors>
  <commentList>
    <comment ref="B8" authorId="0" shapeId="0">
      <text>
        <r>
          <rPr>
            <sz val="8"/>
            <color indexed="81"/>
            <rFont val="Tahoma"/>
          </rPr>
          <t>(1) Click Mouse Button
and
Enter Frequency in box
(2) then press return</t>
        </r>
      </text>
    </comment>
  </commentList>
</comments>
</file>

<file path=xl/comments2.xml><?xml version="1.0" encoding="utf-8"?>
<comments xmlns="http://schemas.openxmlformats.org/spreadsheetml/2006/main">
  <authors>
    <author>Author</author>
  </authors>
  <commentList>
    <comment ref="B9" authorId="0" shapeId="0">
      <text>
        <r>
          <rPr>
            <sz val="8"/>
            <color indexed="81"/>
            <rFont val="Tahoma"/>
          </rPr>
          <t>(1) Click Mouse Button
and
Enter Frequency in box
(2) then press return</t>
        </r>
      </text>
    </comment>
  </commentList>
</comments>
</file>

<file path=xl/comments3.xml><?xml version="1.0" encoding="utf-8"?>
<comments xmlns="http://schemas.openxmlformats.org/spreadsheetml/2006/main">
  <authors>
    <author>Author</author>
  </authors>
  <commentList>
    <comment ref="B8" authorId="0" shapeId="0">
      <text>
        <r>
          <rPr>
            <sz val="8"/>
            <color indexed="81"/>
            <rFont val="Tahoma"/>
          </rPr>
          <t>(1) Click Mouse Button
and
Enter Frequency in box
(2) then press return</t>
        </r>
      </text>
    </comment>
  </commentList>
</comments>
</file>

<file path=xl/comments4.xml><?xml version="1.0" encoding="utf-8"?>
<comments xmlns="http://schemas.openxmlformats.org/spreadsheetml/2006/main">
  <authors>
    <author>Author</author>
  </authors>
  <commentList>
    <comment ref="B8" authorId="0" shapeId="0">
      <text>
        <r>
          <rPr>
            <sz val="8"/>
            <color indexed="81"/>
            <rFont val="Tahoma"/>
          </rPr>
          <t>(1) Click Mouse Button
and
Enter Frequency in box
(2) then press return</t>
        </r>
      </text>
    </comment>
  </commentList>
</comments>
</file>

<file path=xl/comments5.xml><?xml version="1.0" encoding="utf-8"?>
<comments xmlns="http://schemas.openxmlformats.org/spreadsheetml/2006/main">
  <authors>
    <author>Author</author>
  </authors>
  <commentList>
    <comment ref="B8" authorId="0" shapeId="0">
      <text>
        <r>
          <rPr>
            <sz val="8"/>
            <color indexed="81"/>
            <rFont val="Tahoma"/>
          </rPr>
          <t>(1) Click Mouse Button
and
Enter Frequency in box
(2) then press return</t>
        </r>
      </text>
    </comment>
  </commentList>
</comments>
</file>

<file path=xl/comments6.xml><?xml version="1.0" encoding="utf-8"?>
<comments xmlns="http://schemas.openxmlformats.org/spreadsheetml/2006/main">
  <authors>
    <author>Author</author>
  </authors>
  <commentList>
    <comment ref="B9" authorId="0" shapeId="0">
      <text>
        <r>
          <rPr>
            <sz val="8"/>
            <color indexed="81"/>
            <rFont val="Tahoma"/>
          </rPr>
          <t>(1) Click Mouse Button
and
Enter Frequency in box
(2) then press return</t>
        </r>
      </text>
    </comment>
  </commentList>
</comments>
</file>

<file path=xl/comments7.xml><?xml version="1.0" encoding="utf-8"?>
<comments xmlns="http://schemas.openxmlformats.org/spreadsheetml/2006/main">
  <authors>
    <author>Author</author>
  </authors>
  <commentList>
    <comment ref="B8" authorId="0" shapeId="0">
      <text>
        <r>
          <rPr>
            <sz val="8"/>
            <color indexed="81"/>
            <rFont val="Tahoma"/>
          </rPr>
          <t>(1) Click Mouse Button
and
Enter Frequency in box
(2) then press return</t>
        </r>
      </text>
    </comment>
  </commentList>
</comments>
</file>

<file path=xl/sharedStrings.xml><?xml version="1.0" encoding="utf-8"?>
<sst xmlns="http://schemas.openxmlformats.org/spreadsheetml/2006/main" count="1974" uniqueCount="331">
  <si>
    <t>Gamma diameter OD is1/3 to 1/4 smaller then the size of the driven element / if bigger you must add to the Gamma spacing.</t>
  </si>
  <si>
    <t>Info:</t>
  </si>
  <si>
    <t>pf near matching / tune for best SWR</t>
  </si>
  <si>
    <t>- Variable capacitor =</t>
  </si>
  <si>
    <t>Adjustable</t>
  </si>
  <si>
    <t>Spacing</t>
  </si>
  <si>
    <t>Reflector</t>
  </si>
  <si>
    <t>Gamma arm length about / adj.</t>
  </si>
  <si>
    <t xml:space="preserve">coax </t>
  </si>
  <si>
    <t>Gamma arm spacing =</t>
  </si>
  <si>
    <t>" Driven</t>
  </si>
  <si>
    <t xml:space="preserve"> </t>
  </si>
  <si>
    <t>end</t>
  </si>
  <si>
    <t>Moveable</t>
  </si>
  <si>
    <t>inches Driven element</t>
  </si>
  <si>
    <t>" D1</t>
  </si>
  <si>
    <t>52 ohm feed line / gamma matching dimensions are in inches</t>
  </si>
  <si>
    <t>" D2</t>
  </si>
  <si>
    <t>The rest of the dir's continue to get smaller toward the front of the beam. )</t>
  </si>
  <si>
    <t>Inches</t>
  </si>
  <si>
    <t>Info:  The Reflector is 4% to 5% longer and the 1st dir can be 3% to 5% shorter then driven element.</t>
  </si>
  <si>
    <t>FT.   or</t>
  </si>
  <si>
    <t>" D3</t>
  </si>
  <si>
    <t>5 Element Boom</t>
  </si>
  <si>
    <t xml:space="preserve">Spacing between ele. in inches      </t>
  </si>
  <si>
    <t xml:space="preserve"> dir 2</t>
  </si>
  <si>
    <t xml:space="preserve"> dir 1</t>
  </si>
  <si>
    <t>driven</t>
  </si>
  <si>
    <t>reflector</t>
  </si>
  <si>
    <t>Elements in inches</t>
  </si>
  <si>
    <t>" D4</t>
  </si>
  <si>
    <t>inches</t>
  </si>
  <si>
    <t xml:space="preserve"> feet        or</t>
  </si>
  <si>
    <t>Boom length</t>
  </si>
  <si>
    <t>MHz</t>
  </si>
  <si>
    <t>For a 5 element beam</t>
  </si>
  <si>
    <t>EXAMPLE:</t>
  </si>
  <si>
    <t>" D5</t>
  </si>
  <si>
    <t>7 Element Boom</t>
  </si>
  <si>
    <t xml:space="preserve">elements, beams, and stacked elements. </t>
  </si>
  <si>
    <t xml:space="preserve">Free space  wave length measurements are used only for spacing between </t>
  </si>
  <si>
    <t>Please Note:</t>
  </si>
  <si>
    <t>(C ) Hit Enter when finished</t>
  </si>
  <si>
    <t>" D6</t>
  </si>
  <si>
    <t>1/4 Wave</t>
  </si>
  <si>
    <t>1/8 =</t>
  </si>
  <si>
    <t>Driven El</t>
  </si>
  <si>
    <t>1/4 =</t>
  </si>
  <si>
    <t>Dir El #1</t>
  </si>
  <si>
    <t>3/8 =</t>
  </si>
  <si>
    <t>" D7</t>
  </si>
  <si>
    <t>9 Element Boom</t>
  </si>
  <si>
    <t>5/8 Wave</t>
  </si>
  <si>
    <t>1/2 =</t>
  </si>
  <si>
    <t>3/4 Wave</t>
  </si>
  <si>
    <t xml:space="preserve">  K</t>
  </si>
  <si>
    <t>Ele. OD</t>
  </si>
  <si>
    <t>Full Wave</t>
  </si>
  <si>
    <t>Samples for</t>
  </si>
  <si>
    <t>" D8</t>
  </si>
  <si>
    <t>in inches</t>
  </si>
  <si>
    <t>in feet</t>
  </si>
  <si>
    <t xml:space="preserve"> OD</t>
  </si>
  <si>
    <t xml:space="preserve"> Beam Element Lengths</t>
  </si>
  <si>
    <t>&amp; Dir. Ele.</t>
  </si>
  <si>
    <t>1/8 Wave</t>
  </si>
  <si>
    <t>" D9</t>
  </si>
  <si>
    <t>11 Element Boom</t>
  </si>
  <si>
    <t>Driven Ele.</t>
  </si>
  <si>
    <t>1/2 Wave</t>
  </si>
  <si>
    <t>K formulas for</t>
  </si>
  <si>
    <t xml:space="preserve">(B) Enter  ODs </t>
  </si>
  <si>
    <t>" D10</t>
  </si>
  <si>
    <t>Mhz</t>
  </si>
  <si>
    <t>freq. in box</t>
  </si>
  <si>
    <t>" D11</t>
  </si>
  <si>
    <t>13 Element Boom</t>
  </si>
  <si>
    <t>Wave Length in space</t>
  </si>
  <si>
    <t>(A) Enter Design</t>
  </si>
  <si>
    <t>Pick you Operating Frequency from 144 TO 148 MHz</t>
  </si>
  <si>
    <t>" D12</t>
  </si>
  <si>
    <t>15 Element Boom</t>
  </si>
  <si>
    <t>]</t>
  </si>
  <si>
    <t xml:space="preserve">Line </t>
  </si>
  <si>
    <t># 10 wire for 450 Ohms match</t>
  </si>
  <si>
    <t>insulating plate</t>
  </si>
  <si>
    <t># 8 wire for 300 Ohms match</t>
  </si>
  <si>
    <t>spacing</t>
  </si>
  <si>
    <t>1"</t>
  </si>
  <si>
    <t>3/8" Tubing</t>
  </si>
  <si>
    <t>Driven Element for 300 or 450 Ohms</t>
  </si>
  <si>
    <t>then no retuning necessary.</t>
  </si>
  <si>
    <t>If your last director is in the 1/2 wave length impedance repeats zones from the driven element</t>
  </si>
  <si>
    <t>with only 4 director elements and tune for best SWR.  Then add more elements later. Remember,</t>
  </si>
  <si>
    <t xml:space="preserve"> Antenna impedance repeats itself every 1/2 wave length along the beam. Which means You can start</t>
  </si>
  <si>
    <t>dir 4</t>
  </si>
  <si>
    <t>dir 3</t>
  </si>
  <si>
    <t>Element lengths in inches</t>
  </si>
  <si>
    <t>For a 6 element beam</t>
  </si>
  <si>
    <t xml:space="preserve">Free space  wave length measurements are used only for spacing between elements, beams, and stacked elements. </t>
  </si>
  <si>
    <t>Hit Enter when finished</t>
  </si>
  <si>
    <t xml:space="preserve">FT. Boom </t>
  </si>
  <si>
    <t xml:space="preserve">  </t>
  </si>
  <si>
    <t>8 Elements</t>
  </si>
  <si>
    <t>Ele OD</t>
  </si>
  <si>
    <t>10 Elements</t>
  </si>
  <si>
    <t>K</t>
  </si>
  <si>
    <t xml:space="preserve"> in box</t>
  </si>
  <si>
    <t xml:space="preserve"> for ele. OD</t>
  </si>
  <si>
    <t xml:space="preserve"> formula</t>
  </si>
  <si>
    <t>Enter  K</t>
  </si>
  <si>
    <t>12 Elements</t>
  </si>
  <si>
    <t>in box</t>
  </si>
  <si>
    <t xml:space="preserve"> Enter freq.</t>
  </si>
  <si>
    <t>ANTENNA - UHF  Beam</t>
  </si>
  <si>
    <t>Long John Antenna</t>
  </si>
  <si>
    <t>14 Element</t>
  </si>
  <si>
    <t>Driven Element for 300 to 450 Ohms</t>
  </si>
  <si>
    <t>with only 5 director elements and tune for best SWR.  Then add more elements later. Remember,</t>
  </si>
  <si>
    <t xml:space="preserve">Spacing between elements in inches      </t>
  </si>
  <si>
    <t>For your 7 element beam</t>
  </si>
  <si>
    <t>1/2 wave</t>
  </si>
  <si>
    <t xml:space="preserve">Free space  wave length measurements are used only for spacing between elements and for stacking beams. </t>
  </si>
  <si>
    <t xml:space="preserve"> for element OD</t>
  </si>
  <si>
    <t>Enter K  formula</t>
  </si>
  <si>
    <t xml:space="preserve"> Enter frequency</t>
  </si>
  <si>
    <t>15 ele. High Gain 16.8 db  @ 1Mhz Band Width  good  for VHF or UHF</t>
  </si>
  <si>
    <t>Gamma diameter OD is1/3 to 1/4 the size of the driven element / if bigger you must add to the Gamma spacing.</t>
  </si>
  <si>
    <t>Note:</t>
  </si>
  <si>
    <t>placed inside the tube to make the capacitor - adj. For 1.1:1  SWR</t>
  </si>
  <si>
    <t xml:space="preserve">cut about 6  1/2" long and </t>
  </si>
  <si>
    <t xml:space="preserve">1/4 " OD  7" long aluminum tubing with the center lead of a RG 58 50 ohm coax </t>
  </si>
  <si>
    <t>Variable capacitor is a</t>
  </si>
  <si>
    <t>dimensions are in inches</t>
  </si>
  <si>
    <t>Adj. Gamma arm shorting bar to about</t>
  </si>
  <si>
    <t>50 ohms</t>
  </si>
  <si>
    <t>Gamma arm spacing in inches =</t>
  </si>
  <si>
    <t>( C ) Adjustable</t>
  </si>
  <si>
    <t xml:space="preserve">inches </t>
  </si>
  <si>
    <t>wave</t>
  </si>
  <si>
    <t>Driven</t>
  </si>
  <si>
    <t xml:space="preserve">Driven Element and gamma matching dimensions </t>
  </si>
  <si>
    <t>1/2</t>
  </si>
  <si>
    <t>D1</t>
  </si>
  <si>
    <t xml:space="preserve"> 6 feet off the ground.</t>
  </si>
  <si>
    <t>Tune antenna outside; pointing away from walls, buildings, trees and Nothing in front of beam and at least</t>
  </si>
  <si>
    <t>D2</t>
  </si>
  <si>
    <t>Just make sure that your spacing and length are right when you add more elements; it's that easy.</t>
  </si>
  <si>
    <t>retune for best SWR. Why; Because from the drive element to the 3rd director is a 1/2 wave length long.</t>
  </si>
  <si>
    <t xml:space="preserve"> You can start with only 5 elements and tune for best SWR.  Then Add more elements later and not have to</t>
  </si>
  <si>
    <t>So</t>
  </si>
  <si>
    <t xml:space="preserve"> Antenna impedance repeats itself every 1/2 wave length.</t>
  </si>
  <si>
    <t>Info relating to my antenna design</t>
  </si>
  <si>
    <t>D3</t>
  </si>
  <si>
    <t>D4</t>
  </si>
  <si>
    <t xml:space="preserve">MHz </t>
  </si>
  <si>
    <t>D5</t>
  </si>
  <si>
    <t xml:space="preserve">Free space  wave length measurements are used only for spacing between elements and stacked beams. </t>
  </si>
  <si>
    <t>Hit Enter when finish</t>
  </si>
  <si>
    <t>D6</t>
  </si>
  <si>
    <t>60%</t>
  </si>
  <si>
    <t>1st. Dir.</t>
  </si>
  <si>
    <t>db below main lobe</t>
  </si>
  <si>
    <t>Side Lobes</t>
  </si>
  <si>
    <t>dB</t>
  </si>
  <si>
    <t>Front to Back</t>
  </si>
  <si>
    <t>30%</t>
  </si>
  <si>
    <t>D7</t>
  </si>
  <si>
    <t>E=30 / H= 35 degs.</t>
  </si>
  <si>
    <t>Beamwidth</t>
  </si>
  <si>
    <t>20%</t>
  </si>
  <si>
    <t xml:space="preserve">dBd </t>
  </si>
  <si>
    <t>Gain</t>
  </si>
  <si>
    <t>15%</t>
  </si>
  <si>
    <t>Ohms</t>
  </si>
  <si>
    <t>Input</t>
  </si>
  <si>
    <t>10%</t>
  </si>
  <si>
    <t xml:space="preserve">FT. </t>
  </si>
  <si>
    <t>Boom</t>
  </si>
  <si>
    <t>@ 144.200 Mhz</t>
  </si>
  <si>
    <t>1.1:1</t>
  </si>
  <si>
    <t>SWR</t>
  </si>
  <si>
    <t>144.-144.3 Mhz</t>
  </si>
  <si>
    <t>1.2:1</t>
  </si>
  <si>
    <t>D8</t>
  </si>
  <si>
    <t>10 Element Beam Specs.</t>
  </si>
  <si>
    <t>A SPECIAL DESIGNED ANTENNA FOR SSB AND CW</t>
  </si>
  <si>
    <t>placed inside the tube to make the capacitor - adj. length inside tubing and shorting bar For 1.1:1  SWR</t>
  </si>
  <si>
    <t xml:space="preserve">1/4 " OD  3" long aluminum tubing with the center lead of a RG 58 50 ohm coax </t>
  </si>
  <si>
    <t>40%</t>
  </si>
  <si>
    <t>E=35 / H= 40 degs.</t>
  </si>
  <si>
    <t>@ 222.100 Mhz</t>
  </si>
  <si>
    <t>222.-222.5 Mhz</t>
  </si>
  <si>
    <t>Element Lengths</t>
  </si>
  <si>
    <t>For Element Spacing</t>
  </si>
  <si>
    <t>A SPECIAL DESIGNED ANTENNA FOR 222 MHZ SSB AND CW BAND</t>
  </si>
  <si>
    <t xml:space="preserve">      Antenna Design Made Simple</t>
  </si>
  <si>
    <t>Hit Enter when finised</t>
  </si>
  <si>
    <t>Driven Element for 300 t0 450 Ohms</t>
  </si>
  <si>
    <t>15 Ele. High Gain 16.8 db  @ 1Mhz Band Width  good  for VHF or UHF</t>
  </si>
  <si>
    <t xml:space="preserve">cut about 2  1/2" long and </t>
  </si>
  <si>
    <t xml:space="preserve"> You can start with only 5 elements and tune for best SWR.  Add more elements later and not have to</t>
  </si>
  <si>
    <t>Element length in inches</t>
  </si>
  <si>
    <t xml:space="preserve">Please Note: Free space  wave length measurements are used only for spacing between elements and stacked beams. </t>
  </si>
  <si>
    <t>@ 432.100 Mhz</t>
  </si>
  <si>
    <t>432.-432.9 Mhz</t>
  </si>
  <si>
    <t>A SPECIAL DESIGNED HIGH GAIN ANTENNA FOR SSB OR CW</t>
  </si>
  <si>
    <t>you must add to the Gamma spacing.</t>
  </si>
  <si>
    <t>Gamma diameter OD is1/3 to 1/4 the size of the driven element / if bigger</t>
  </si>
  <si>
    <t xml:space="preserve"> Variable capacitor =</t>
  </si>
  <si>
    <t>Adjust Gamma arm length to about</t>
  </si>
  <si>
    <t>52 ohm</t>
  </si>
  <si>
    <t xml:space="preserve">Driven Element: Using gamma matching </t>
  </si>
  <si>
    <t>The rest of the dir's continue to get smaller toward the front of the beam.</t>
  </si>
  <si>
    <t>1st dir is 3% to 5% shorter then the driven element.</t>
  </si>
  <si>
    <t>Reflector is 4% to 5% longer then driven element.</t>
  </si>
  <si>
    <t xml:space="preserve">Spacing in inches      </t>
  </si>
  <si>
    <t>K Factor</t>
  </si>
  <si>
    <t>in this box below</t>
  </si>
  <si>
    <t>and enter number</t>
  </si>
  <si>
    <t xml:space="preserve"> feet or</t>
  </si>
  <si>
    <t>Element</t>
  </si>
  <si>
    <t>Boom OD</t>
  </si>
  <si>
    <r>
      <t xml:space="preserve">Factor # for </t>
    </r>
    <r>
      <rPr>
        <b/>
        <sz val="10"/>
        <rFont val="Arial"/>
        <family val="2"/>
      </rPr>
      <t>Directors</t>
    </r>
  </si>
  <si>
    <t>Element OD size</t>
  </si>
  <si>
    <t>Look in chart for the K</t>
  </si>
  <si>
    <t xml:space="preserve"> 5 element beam</t>
  </si>
  <si>
    <t>Next</t>
  </si>
  <si>
    <t xml:space="preserve">     for spacing between elements, between stacked beams or stacked elements and etc.</t>
  </si>
  <si>
    <t xml:space="preserve"> Wave length measurements in free space are used </t>
  </si>
  <si>
    <r>
      <t xml:space="preserve">K Factor # for </t>
    </r>
    <r>
      <rPr>
        <b/>
        <sz val="10"/>
        <rFont val="Arial"/>
        <family val="2"/>
      </rPr>
      <t>Driven</t>
    </r>
  </si>
  <si>
    <t>Look in chart for the</t>
  </si>
  <si>
    <t>Directors</t>
  </si>
  <si>
    <t>1/8"  =</t>
  </si>
  <si>
    <t>1/4"  =</t>
  </si>
  <si>
    <t>3/8"  =</t>
  </si>
  <si>
    <t>1000 =</t>
  </si>
  <si>
    <t>1/2"  =</t>
  </si>
  <si>
    <t>500 =</t>
  </si>
  <si>
    <t xml:space="preserve"> in inches</t>
  </si>
  <si>
    <t xml:space="preserve"> in feet</t>
  </si>
  <si>
    <t>5/8"  =</t>
  </si>
  <si>
    <t>200 =</t>
  </si>
  <si>
    <t>Element Spacing</t>
  </si>
  <si>
    <t xml:space="preserve">For Your Ele. OD Size </t>
  </si>
  <si>
    <t>3/4"  =</t>
  </si>
  <si>
    <t>100 =</t>
  </si>
  <si>
    <t>1"  =</t>
  </si>
  <si>
    <t>60 =</t>
  </si>
  <si>
    <t>1 1/4" =</t>
  </si>
  <si>
    <t>50 =</t>
  </si>
  <si>
    <t>" Director</t>
  </si>
  <si>
    <t>40 =</t>
  </si>
  <si>
    <t>30 =</t>
  </si>
  <si>
    <t>And Element OD Sizes</t>
  </si>
  <si>
    <t>20 =</t>
  </si>
  <si>
    <t>10 =</t>
  </si>
  <si>
    <t>Length</t>
  </si>
  <si>
    <t>Start Here</t>
  </si>
  <si>
    <t>Multiplying</t>
  </si>
  <si>
    <t>Measurements for</t>
  </si>
  <si>
    <t>Ratio of</t>
  </si>
  <si>
    <t xml:space="preserve">HF ANTENNAS  </t>
  </si>
  <si>
    <t>Elements</t>
  </si>
  <si>
    <r>
      <t xml:space="preserve">Factor # for </t>
    </r>
    <r>
      <rPr>
        <b/>
        <sz val="10"/>
        <rFont val="Arial"/>
        <family val="2"/>
      </rPr>
      <t>Director</t>
    </r>
  </si>
  <si>
    <t xml:space="preserve">     for spacing between elements, between stacked beams or stacked elements.</t>
  </si>
  <si>
    <t>"  Driven</t>
  </si>
  <si>
    <t xml:space="preserve"> Enter freq. </t>
  </si>
  <si>
    <t>and enter closest #</t>
  </si>
  <si>
    <t>Enter Frequency</t>
  </si>
  <si>
    <t>Start</t>
  </si>
  <si>
    <t xml:space="preserve">ANTENNAS - UHF </t>
  </si>
  <si>
    <t>Hit Enter When Finish</t>
  </si>
  <si>
    <t>" Directors</t>
  </si>
  <si>
    <t xml:space="preserve">ANTENNAS - from 50 MHz TO 446 MHz </t>
  </si>
  <si>
    <t>dimension are in inches</t>
  </si>
  <si>
    <t>Hit Return when Finished</t>
  </si>
  <si>
    <t xml:space="preserve"> ( L P spacing between elements )</t>
  </si>
  <si>
    <t>Balance feet point</t>
  </si>
  <si>
    <t>length</t>
  </si>
  <si>
    <t xml:space="preserve">spacing </t>
  </si>
  <si>
    <t>insulated material from boom</t>
  </si>
  <si>
    <t>All L P elements use stand-off</t>
  </si>
  <si>
    <t>L P spacing</t>
  </si>
  <si>
    <t>3rd dir.</t>
  </si>
  <si>
    <t>2nd dir.</t>
  </si>
  <si>
    <t>1st dir.</t>
  </si>
  <si>
    <t xml:space="preserve"> loop</t>
  </si>
  <si>
    <t>loop</t>
  </si>
  <si>
    <t>5th driven element</t>
  </si>
  <si>
    <t>L P spacing for 2, 1 1/4, &amp;  70CM is 2 inches</t>
  </si>
  <si>
    <t>4th driven element</t>
  </si>
  <si>
    <t>L P spacing for 6 meters is 3 1/2 inches</t>
  </si>
  <si>
    <t>3rd driven element</t>
  </si>
  <si>
    <t>point to point</t>
  </si>
  <si>
    <t>2nd driven element</t>
  </si>
  <si>
    <t>For</t>
  </si>
  <si>
    <t xml:space="preserve"> 2 or 3 1/2"</t>
  </si>
  <si>
    <t>ENTER L P SPACING</t>
  </si>
  <si>
    <t>1st driven element</t>
  </si>
  <si>
    <t>gain for the 4 active elements.</t>
  </si>
  <si>
    <t xml:space="preserve">For element OD size 3/8 to 3/4 enter </t>
  </si>
  <si>
    <t>element taper = 6.5 DB</t>
  </si>
  <si>
    <t xml:space="preserve">For element OD size 1/8 to 1/4 enter </t>
  </si>
  <si>
    <t>28 degrees logarithmic</t>
  </si>
  <si>
    <t>0 or .02</t>
  </si>
  <si>
    <t>ENTER EL. OD CODE</t>
  </si>
  <si>
    <t xml:space="preserve"> 1/2 wave element </t>
  </si>
  <si>
    <t>degrees</t>
  </si>
  <si>
    <t xml:space="preserve"> 1/2 w el 1/8 - 1/4 OD</t>
  </si>
  <si>
    <t>ENTER YOUR FREQUENCY IN BOX</t>
  </si>
  <si>
    <t xml:space="preserve">  1/2 wave in space</t>
  </si>
  <si>
    <t>Forward gain 12 DB</t>
  </si>
  <si>
    <t>for</t>
  </si>
  <si>
    <t>For a 70 Ohm balance fed points no. 8 aluminun wire</t>
  </si>
  <si>
    <t>( 50 TO 500 MHz )</t>
  </si>
  <si>
    <t>" D13</t>
  </si>
  <si>
    <t>10m 5el Antenna Designs</t>
  </si>
  <si>
    <t>HF 5el Antenna Designs</t>
  </si>
  <si>
    <t xml:space="preserve">UHF 5el Antenna Designs  </t>
  </si>
  <si>
    <t>2m 5el Antenna Designs</t>
  </si>
  <si>
    <t>6m 5el Antenna Designs</t>
  </si>
  <si>
    <t>6m LOG-PERIODIC ANTENNAS</t>
  </si>
  <si>
    <t>2m LOG-PERIODIC ANTENNAS</t>
  </si>
  <si>
    <t xml:space="preserve">    2m 5-15el Antenna Design</t>
  </si>
  <si>
    <t xml:space="preserve">    2m 6-14el Antenna Design</t>
  </si>
  <si>
    <t xml:space="preserve">    2m 7-15el Antenna Design</t>
  </si>
  <si>
    <t xml:space="preserve">    2m 5-10el Antenna Design</t>
  </si>
  <si>
    <t xml:space="preserve">    70cm 6-14el Antenna Design</t>
  </si>
  <si>
    <t xml:space="preserve">    70cm 7-15el Antenna Design</t>
  </si>
  <si>
    <t xml:space="preserve">    70cm 5-10el Antenna Design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</si>
</sst>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.000"/>
    <numFmt numFmtId="165" formatCode="0.0"/>
  </numFmts>
  <fonts count="29" x14ac:knownFonts="1">
    <font>
      <sz val="11"/>
      <color theme="1"/>
      <name val="Calibri"/>
      <family val="2"/>
      <scheme val="minor"/>
    </font>
    <font>
      <sz val="10"/>
      <name val="Arial"/>
    </font>
    <font>
      <sz val="10"/>
      <name val="Arial"/>
      <family val="2"/>
    </font>
    <font>
      <i/>
      <sz val="10"/>
      <name val="Arial"/>
      <family val="2"/>
    </font>
    <font>
      <b/>
      <sz val="10"/>
      <name val="Arial"/>
      <family val="2"/>
    </font>
    <font>
      <b/>
      <sz val="10"/>
      <color indexed="10"/>
      <name val="Arial"/>
      <family val="2"/>
    </font>
    <font>
      <sz val="10"/>
      <color indexed="10"/>
      <name val="Arial"/>
      <family val="2"/>
    </font>
    <font>
      <b/>
      <sz val="10"/>
      <color indexed="9"/>
      <name val="Arial"/>
      <family val="2"/>
    </font>
    <font>
      <sz val="10"/>
      <color indexed="9"/>
      <name val="Arial"/>
      <family val="2"/>
    </font>
    <font>
      <b/>
      <i/>
      <sz val="10"/>
      <name val="Arial"/>
      <family val="2"/>
    </font>
    <font>
      <b/>
      <u/>
      <sz val="10"/>
      <name val="Arial"/>
      <family val="2"/>
    </font>
    <font>
      <b/>
      <sz val="10"/>
      <color indexed="12"/>
      <name val="Arial"/>
      <family val="2"/>
    </font>
    <font>
      <b/>
      <sz val="10"/>
      <color indexed="8"/>
      <name val="Arial"/>
      <family val="2"/>
    </font>
    <font>
      <sz val="12"/>
      <name val="Arial"/>
      <family val="2"/>
    </font>
    <font>
      <sz val="14"/>
      <name val="Arial"/>
      <family val="2"/>
    </font>
    <font>
      <b/>
      <sz val="24"/>
      <name val="Arial"/>
      <family val="2"/>
    </font>
    <font>
      <b/>
      <i/>
      <u/>
      <sz val="10"/>
      <name val="Arial"/>
      <family val="2"/>
    </font>
    <font>
      <b/>
      <sz val="10"/>
      <color indexed="48"/>
      <name val="Arial"/>
      <family val="2"/>
    </font>
    <font>
      <b/>
      <u/>
      <sz val="10"/>
      <color indexed="12"/>
      <name val="Arial"/>
      <family val="2"/>
    </font>
    <font>
      <sz val="8"/>
      <color indexed="81"/>
      <name val="Tahoma"/>
    </font>
    <font>
      <sz val="10"/>
      <color indexed="12"/>
      <name val="Arial"/>
      <family val="2"/>
    </font>
    <font>
      <sz val="10"/>
      <color indexed="8"/>
      <name val="Arial"/>
      <family val="2"/>
    </font>
    <font>
      <b/>
      <u/>
      <sz val="10"/>
      <color indexed="8"/>
      <name val="Arial"/>
      <family val="2"/>
    </font>
    <font>
      <sz val="14"/>
      <color indexed="10"/>
      <name val="Arial"/>
      <family val="2"/>
    </font>
    <font>
      <sz val="10"/>
      <color indexed="13"/>
      <name val="Arial"/>
      <family val="2"/>
    </font>
    <font>
      <b/>
      <sz val="8"/>
      <name val="Arial"/>
      <family val="2"/>
    </font>
    <font>
      <sz val="8"/>
      <name val="Arial"/>
      <family val="2"/>
    </font>
    <font>
      <b/>
      <sz val="20"/>
      <name val="Arial"/>
      <family val="2"/>
    </font>
    <font>
      <b/>
      <sz val="10"/>
      <color indexed="18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indexed="4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41"/>
        <bgColor indexed="64"/>
      </patternFill>
    </fill>
    <fill>
      <patternFill patternType="lightTrellis"/>
    </fill>
  </fills>
  <borders count="65">
    <border>
      <left/>
      <right/>
      <top/>
      <bottom/>
      <diagonal/>
    </border>
    <border>
      <left style="thick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ck">
        <color indexed="64"/>
      </left>
      <right/>
      <top/>
      <bottom/>
      <diagonal/>
    </border>
    <border>
      <left/>
      <right/>
      <top style="thick">
        <color indexed="64"/>
      </top>
      <bottom/>
      <diagonal/>
    </border>
    <border>
      <left/>
      <right/>
      <top/>
      <bottom style="thick">
        <color indexed="64"/>
      </bottom>
      <diagonal/>
    </border>
    <border>
      <left style="thin">
        <color indexed="64"/>
      </left>
      <right/>
      <top/>
      <bottom/>
      <diagonal/>
    </border>
    <border>
      <left/>
      <right/>
      <top style="thin">
        <color indexed="64"/>
      </top>
      <bottom style="thick">
        <color indexed="64"/>
      </bottom>
      <diagonal/>
    </border>
    <border>
      <left style="thick">
        <color indexed="64"/>
      </left>
      <right/>
      <top style="thin">
        <color indexed="64"/>
      </top>
      <bottom style="thick">
        <color indexed="64"/>
      </bottom>
      <diagonal/>
    </border>
    <border>
      <left style="thick">
        <color indexed="64"/>
      </left>
      <right/>
      <top/>
      <bottom style="thick">
        <color indexed="64"/>
      </bottom>
      <diagonal/>
    </border>
    <border>
      <left/>
      <right style="thick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ck">
        <color indexed="64"/>
      </left>
      <right/>
      <top style="thin">
        <color indexed="64"/>
      </top>
      <bottom/>
      <diagonal/>
    </border>
    <border>
      <left/>
      <right style="thick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ck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ck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ck">
        <color indexed="64"/>
      </left>
      <right/>
      <top/>
      <bottom style="thin">
        <color indexed="64"/>
      </bottom>
      <diagonal/>
    </border>
    <border>
      <left/>
      <right style="thick">
        <color indexed="64"/>
      </right>
      <top style="thick">
        <color indexed="64"/>
      </top>
      <bottom/>
      <diagonal/>
    </border>
    <border>
      <left style="thick">
        <color indexed="64"/>
      </left>
      <right/>
      <top style="thick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ck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ck">
        <color indexed="64"/>
      </right>
      <top style="thin">
        <color indexed="64"/>
      </top>
      <bottom style="thick">
        <color indexed="64"/>
      </bottom>
      <diagonal/>
    </border>
    <border>
      <left/>
      <right style="thick">
        <color indexed="64"/>
      </right>
      <top/>
      <bottom style="thick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ck">
        <color indexed="64"/>
      </right>
      <top style="thick">
        <color indexed="64"/>
      </top>
      <bottom style="thin">
        <color indexed="64"/>
      </bottom>
      <diagonal/>
    </border>
    <border>
      <left/>
      <right/>
      <top style="thick">
        <color indexed="64"/>
      </top>
      <bottom style="thin">
        <color indexed="64"/>
      </bottom>
      <diagonal/>
    </border>
    <border>
      <left style="thick">
        <color indexed="64"/>
      </left>
      <right/>
      <top style="thick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dashed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/>
      <top/>
      <bottom style="dashed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434">
    <xf numFmtId="0" fontId="0" fillId="0" borderId="0" xfId="0"/>
    <xf numFmtId="0" fontId="1" fillId="0" borderId="0" xfId="1"/>
    <xf numFmtId="0" fontId="2" fillId="0" borderId="0" xfId="1" applyFont="1"/>
    <xf numFmtId="0" fontId="3" fillId="0" borderId="0" xfId="1" applyFont="1"/>
    <xf numFmtId="0" fontId="3" fillId="0" borderId="0" xfId="1" applyFont="1" applyAlignment="1">
      <alignment horizontal="center"/>
    </xf>
    <xf numFmtId="2" fontId="2" fillId="0" borderId="0" xfId="1" applyNumberFormat="1" applyFont="1"/>
    <xf numFmtId="0" fontId="2" fillId="0" borderId="0" xfId="1" quotePrefix="1" applyFont="1"/>
    <xf numFmtId="0" fontId="2" fillId="0" borderId="0" xfId="1" applyFont="1" applyAlignment="1">
      <alignment horizontal="right"/>
    </xf>
    <xf numFmtId="164" fontId="1" fillId="0" borderId="0" xfId="1" applyNumberFormat="1" applyAlignment="1">
      <alignment horizontal="center"/>
    </xf>
    <xf numFmtId="164" fontId="1" fillId="0" borderId="1" xfId="1" applyNumberFormat="1" applyBorder="1" applyAlignment="1">
      <alignment horizontal="center"/>
    </xf>
    <xf numFmtId="2" fontId="2" fillId="0" borderId="2" xfId="1" applyNumberFormat="1" applyFont="1" applyBorder="1" applyAlignment="1">
      <alignment horizontal="center"/>
    </xf>
    <xf numFmtId="164" fontId="4" fillId="0" borderId="0" xfId="1" applyNumberFormat="1" applyFont="1" applyAlignment="1">
      <alignment horizontal="right"/>
    </xf>
    <xf numFmtId="164" fontId="2" fillId="0" borderId="0" xfId="1" applyNumberFormat="1" applyFont="1" applyAlignment="1">
      <alignment horizontal="left"/>
    </xf>
    <xf numFmtId="0" fontId="2" fillId="0" borderId="0" xfId="1" applyFont="1" applyAlignment="1">
      <alignment horizontal="center"/>
    </xf>
    <xf numFmtId="164" fontId="1" fillId="0" borderId="3" xfId="1" applyNumberFormat="1" applyBorder="1" applyAlignment="1">
      <alignment horizontal="center"/>
    </xf>
    <xf numFmtId="0" fontId="1" fillId="0" borderId="0" xfId="1" applyAlignment="1">
      <alignment horizontal="center"/>
    </xf>
    <xf numFmtId="0" fontId="1" fillId="0" borderId="2" xfId="1" applyBorder="1" applyAlignment="1">
      <alignment horizontal="left"/>
    </xf>
    <xf numFmtId="0" fontId="4" fillId="0" borderId="0" xfId="1" applyFont="1" applyAlignment="1">
      <alignment horizontal="right"/>
    </xf>
    <xf numFmtId="0" fontId="2" fillId="0" borderId="4" xfId="1" applyFont="1" applyBorder="1"/>
    <xf numFmtId="0" fontId="2" fillId="0" borderId="0" xfId="1" applyFont="1" applyAlignment="1">
      <alignment horizontal="left"/>
    </xf>
    <xf numFmtId="2" fontId="5" fillId="0" borderId="0" xfId="1" applyNumberFormat="1" applyFont="1"/>
    <xf numFmtId="164" fontId="4" fillId="0" borderId="0" xfId="1" applyNumberFormat="1" applyFont="1"/>
    <xf numFmtId="0" fontId="4" fillId="0" borderId="0" xfId="1" applyFont="1" applyAlignment="1">
      <alignment horizontal="left"/>
    </xf>
    <xf numFmtId="0" fontId="1" fillId="2" borderId="0" xfId="1" applyFill="1"/>
    <xf numFmtId="2" fontId="4" fillId="2" borderId="0" xfId="1" applyNumberFormat="1" applyFont="1" applyFill="1"/>
    <xf numFmtId="164" fontId="6" fillId="0" borderId="0" xfId="1" applyNumberFormat="1" applyFont="1" applyAlignment="1">
      <alignment horizontal="center"/>
    </xf>
    <xf numFmtId="0" fontId="4" fillId="0" borderId="0" xfId="1" applyFont="1"/>
    <xf numFmtId="164" fontId="4" fillId="0" borderId="0" xfId="1" applyNumberFormat="1" applyFont="1" applyAlignment="1">
      <alignment horizontal="center"/>
    </xf>
    <xf numFmtId="164" fontId="4" fillId="0" borderId="0" xfId="1" applyNumberFormat="1" applyFont="1" applyAlignment="1">
      <alignment horizontal="left"/>
    </xf>
    <xf numFmtId="0" fontId="2" fillId="0" borderId="5" xfId="1" applyFont="1" applyBorder="1" applyAlignment="1">
      <alignment horizontal="center"/>
    </xf>
    <xf numFmtId="0" fontId="2" fillId="0" borderId="5" xfId="1" applyFont="1" applyBorder="1"/>
    <xf numFmtId="164" fontId="7" fillId="0" borderId="0" xfId="1" applyNumberFormat="1" applyFont="1" applyAlignment="1">
      <alignment horizontal="left"/>
    </xf>
    <xf numFmtId="164" fontId="5" fillId="0" borderId="0" xfId="1" applyNumberFormat="1" applyFont="1"/>
    <xf numFmtId="0" fontId="1" fillId="0" borderId="0" xfId="1" applyBorder="1"/>
    <xf numFmtId="0" fontId="1" fillId="0" borderId="0" xfId="1" applyFill="1" applyBorder="1"/>
    <xf numFmtId="0" fontId="2" fillId="0" borderId="6" xfId="1" applyFont="1" applyFill="1" applyBorder="1"/>
    <xf numFmtId="2" fontId="2" fillId="2" borderId="0" xfId="1" applyNumberFormat="1" applyFont="1" applyFill="1" applyAlignment="1">
      <alignment horizontal="left"/>
    </xf>
    <xf numFmtId="2" fontId="2" fillId="2" borderId="0" xfId="1" applyNumberFormat="1" applyFont="1" applyFill="1" applyAlignment="1">
      <alignment horizontal="right"/>
    </xf>
    <xf numFmtId="0" fontId="2" fillId="2" borderId="0" xfId="1" applyFont="1" applyFill="1" applyAlignment="1">
      <alignment horizontal="center"/>
    </xf>
    <xf numFmtId="2" fontId="2" fillId="2" borderId="6" xfId="1" applyNumberFormat="1" applyFont="1" applyFill="1" applyBorder="1"/>
    <xf numFmtId="2" fontId="2" fillId="0" borderId="0" xfId="1" applyNumberFormat="1" applyFont="1" applyAlignment="1">
      <alignment horizontal="right"/>
    </xf>
    <xf numFmtId="0" fontId="4" fillId="3" borderId="0" xfId="1" applyFont="1" applyFill="1" applyBorder="1"/>
    <xf numFmtId="0" fontId="5" fillId="3" borderId="0" xfId="1" applyFont="1" applyFill="1" applyBorder="1"/>
    <xf numFmtId="0" fontId="2" fillId="0" borderId="0" xfId="1" applyFont="1" applyBorder="1"/>
    <xf numFmtId="0" fontId="4" fillId="0" borderId="0" xfId="1" applyFont="1" applyBorder="1"/>
    <xf numFmtId="0" fontId="5" fillId="0" borderId="0" xfId="1" applyFont="1" applyBorder="1" applyAlignment="1">
      <alignment horizontal="right"/>
    </xf>
    <xf numFmtId="2" fontId="8" fillId="0" borderId="0" xfId="1" applyNumberFormat="1" applyFont="1"/>
    <xf numFmtId="0" fontId="2" fillId="0" borderId="0" xfId="1" applyFont="1" applyAlignment="1"/>
    <xf numFmtId="0" fontId="9" fillId="0" borderId="0" xfId="1" applyFont="1"/>
    <xf numFmtId="0" fontId="9" fillId="4" borderId="0" xfId="1" applyFont="1" applyFill="1"/>
    <xf numFmtId="0" fontId="2" fillId="4" borderId="0" xfId="1" applyFont="1" applyFill="1"/>
    <xf numFmtId="0" fontId="10" fillId="4" borderId="0" xfId="1" applyFont="1" applyFill="1"/>
    <xf numFmtId="0" fontId="1" fillId="0" borderId="0" xfId="1" applyFill="1"/>
    <xf numFmtId="2" fontId="4" fillId="0" borderId="0" xfId="1" applyNumberFormat="1" applyFont="1" applyFill="1"/>
    <xf numFmtId="0" fontId="2" fillId="0" borderId="3" xfId="1" applyFont="1" applyBorder="1"/>
    <xf numFmtId="2" fontId="2" fillId="0" borderId="5" xfId="1" applyNumberFormat="1" applyFont="1" applyBorder="1" applyAlignment="1">
      <alignment horizontal="center"/>
    </xf>
    <xf numFmtId="2" fontId="2" fillId="0" borderId="7" xfId="1" applyNumberFormat="1" applyFont="1" applyBorder="1" applyAlignment="1">
      <alignment horizontal="center"/>
    </xf>
    <xf numFmtId="9" fontId="4" fillId="0" borderId="8" xfId="1" applyNumberFormat="1" applyFont="1" applyBorder="1" applyAlignment="1">
      <alignment horizontal="center"/>
    </xf>
    <xf numFmtId="0" fontId="4" fillId="0" borderId="9" xfId="1" applyFont="1" applyBorder="1" applyAlignment="1">
      <alignment horizontal="left"/>
    </xf>
    <xf numFmtId="0" fontId="2" fillId="3" borderId="0" xfId="1" applyFont="1" applyFill="1" applyAlignment="1">
      <alignment horizontal="left"/>
    </xf>
    <xf numFmtId="164" fontId="11" fillId="4" borderId="0" xfId="1" applyNumberFormat="1" applyFont="1" applyFill="1" applyAlignment="1">
      <alignment horizontal="left"/>
    </xf>
    <xf numFmtId="0" fontId="11" fillId="4" borderId="0" xfId="1" applyFont="1" applyFill="1" applyAlignment="1">
      <alignment horizontal="center"/>
    </xf>
    <xf numFmtId="0" fontId="1" fillId="4" borderId="0" xfId="1" applyFill="1"/>
    <xf numFmtId="164" fontId="2" fillId="0" borderId="10" xfId="1" applyNumberFormat="1" applyFont="1" applyBorder="1" applyAlignment="1">
      <alignment horizontal="center"/>
    </xf>
    <xf numFmtId="2" fontId="2" fillId="0" borderId="11" xfId="1" applyNumberFormat="1" applyFont="1" applyBorder="1" applyAlignment="1">
      <alignment horizontal="center"/>
    </xf>
    <xf numFmtId="9" fontId="4" fillId="0" borderId="12" xfId="1" applyNumberFormat="1" applyFont="1" applyBorder="1" applyAlignment="1">
      <alignment horizontal="center"/>
    </xf>
    <xf numFmtId="164" fontId="5" fillId="0" borderId="13" xfId="1" applyNumberFormat="1" applyFont="1" applyBorder="1" applyAlignment="1">
      <alignment horizontal="center"/>
    </xf>
    <xf numFmtId="2" fontId="2" fillId="0" borderId="14" xfId="1" applyNumberFormat="1" applyFont="1" applyBorder="1" applyAlignment="1">
      <alignment horizontal="center"/>
    </xf>
    <xf numFmtId="0" fontId="4" fillId="0" borderId="15" xfId="1" applyFont="1" applyBorder="1" applyAlignment="1">
      <alignment horizontal="left"/>
    </xf>
    <xf numFmtId="0" fontId="11" fillId="4" borderId="0" xfId="1" quotePrefix="1" applyFont="1" applyFill="1" applyAlignment="1">
      <alignment horizontal="center"/>
    </xf>
    <xf numFmtId="164" fontId="2" fillId="0" borderId="16" xfId="1" applyNumberFormat="1" applyFont="1" applyBorder="1" applyAlignment="1">
      <alignment horizontal="center"/>
    </xf>
    <xf numFmtId="2" fontId="2" fillId="0" borderId="17" xfId="1" applyNumberFormat="1" applyFont="1" applyBorder="1" applyAlignment="1">
      <alignment horizontal="center"/>
    </xf>
    <xf numFmtId="9" fontId="4" fillId="0" borderId="18" xfId="1" applyNumberFormat="1" applyFont="1" applyBorder="1" applyAlignment="1">
      <alignment horizontal="center"/>
    </xf>
    <xf numFmtId="2" fontId="5" fillId="0" borderId="14" xfId="1" applyNumberFormat="1" applyFont="1" applyBorder="1" applyAlignment="1">
      <alignment horizontal="center"/>
    </xf>
    <xf numFmtId="16" fontId="11" fillId="4" borderId="0" xfId="1" quotePrefix="1" applyNumberFormat="1" applyFont="1" applyFill="1" applyAlignment="1">
      <alignment horizontal="center"/>
    </xf>
    <xf numFmtId="0" fontId="4" fillId="0" borderId="18" xfId="1" applyFont="1" applyBorder="1" applyAlignment="1">
      <alignment horizontal="left"/>
    </xf>
    <xf numFmtId="164" fontId="2" fillId="0" borderId="13" xfId="1" applyNumberFormat="1" applyFont="1" applyBorder="1" applyAlignment="1">
      <alignment horizontal="center"/>
    </xf>
    <xf numFmtId="9" fontId="4" fillId="0" borderId="15" xfId="1" applyNumberFormat="1" applyFont="1" applyBorder="1" applyAlignment="1">
      <alignment horizontal="center"/>
    </xf>
    <xf numFmtId="0" fontId="4" fillId="3" borderId="0" xfId="1" applyFont="1" applyFill="1" applyAlignment="1">
      <alignment horizontal="left"/>
    </xf>
    <xf numFmtId="0" fontId="11" fillId="4" borderId="0" xfId="1" applyFont="1" applyFill="1" applyAlignment="1">
      <alignment horizontal="left"/>
    </xf>
    <xf numFmtId="0" fontId="4" fillId="0" borderId="18" xfId="1" applyFont="1" applyBorder="1"/>
    <xf numFmtId="0" fontId="2" fillId="3" borderId="0" xfId="1" applyFont="1" applyFill="1"/>
    <xf numFmtId="0" fontId="11" fillId="4" borderId="0" xfId="1" applyFont="1" applyFill="1" applyBorder="1"/>
    <xf numFmtId="164" fontId="2" fillId="0" borderId="19" xfId="1" applyNumberFormat="1" applyFont="1" applyBorder="1"/>
    <xf numFmtId="0" fontId="2" fillId="0" borderId="4" xfId="1" applyFont="1" applyBorder="1" applyAlignment="1">
      <alignment horizontal="center"/>
    </xf>
    <xf numFmtId="0" fontId="4" fillId="0" borderId="20" xfId="1" applyFont="1" applyBorder="1"/>
    <xf numFmtId="0" fontId="4" fillId="3" borderId="0" xfId="1" applyFont="1" applyFill="1"/>
    <xf numFmtId="0" fontId="12" fillId="4" borderId="0" xfId="1" applyFont="1" applyFill="1"/>
    <xf numFmtId="0" fontId="4" fillId="4" borderId="21" xfId="1" applyFont="1" applyFill="1" applyBorder="1" applyProtection="1">
      <protection locked="0"/>
    </xf>
    <xf numFmtId="164" fontId="2" fillId="0" borderId="0" xfId="1" applyNumberFormat="1" applyFont="1"/>
    <xf numFmtId="0" fontId="4" fillId="0" borderId="0" xfId="1" applyFont="1" applyAlignment="1">
      <alignment horizontal="center"/>
    </xf>
    <xf numFmtId="0" fontId="11" fillId="4" borderId="0" xfId="1" applyFont="1" applyFill="1"/>
    <xf numFmtId="0" fontId="11" fillId="4" borderId="0" xfId="1" applyFont="1" applyFill="1" applyProtection="1"/>
    <xf numFmtId="2" fontId="4" fillId="0" borderId="14" xfId="1" applyNumberFormat="1" applyFont="1" applyBorder="1" applyAlignment="1">
      <alignment horizontal="center"/>
    </xf>
    <xf numFmtId="0" fontId="11" fillId="4" borderId="0" xfId="1" applyFont="1" applyFill="1" applyAlignment="1" applyProtection="1">
      <alignment horizontal="left"/>
    </xf>
    <xf numFmtId="0" fontId="4" fillId="4" borderId="0" xfId="1" applyFont="1" applyFill="1" applyBorder="1" applyAlignment="1" applyProtection="1">
      <alignment horizontal="left"/>
    </xf>
    <xf numFmtId="0" fontId="4" fillId="4" borderId="0" xfId="1" applyFont="1" applyFill="1" applyBorder="1"/>
    <xf numFmtId="0" fontId="2" fillId="0" borderId="19" xfId="1" applyFont="1" applyBorder="1" applyAlignment="1">
      <alignment horizontal="center"/>
    </xf>
    <xf numFmtId="0" fontId="2" fillId="0" borderId="20" xfId="1" applyFont="1" applyBorder="1"/>
    <xf numFmtId="0" fontId="11" fillId="4" borderId="0" xfId="1" applyFont="1" applyFill="1" applyBorder="1" applyAlignment="1">
      <alignment horizontal="left"/>
    </xf>
    <xf numFmtId="0" fontId="4" fillId="0" borderId="0" xfId="1" applyFont="1" applyBorder="1" applyAlignment="1">
      <alignment horizontal="center"/>
    </xf>
    <xf numFmtId="164" fontId="1" fillId="0" borderId="22" xfId="1" applyNumberFormat="1" applyBorder="1" applyAlignment="1">
      <alignment horizontal="center"/>
    </xf>
    <xf numFmtId="0" fontId="10" fillId="0" borderId="0" xfId="1" applyFont="1"/>
    <xf numFmtId="0" fontId="1" fillId="0" borderId="1" xfId="1" applyBorder="1" applyAlignment="1">
      <alignment horizontal="center"/>
    </xf>
    <xf numFmtId="0" fontId="13" fillId="0" borderId="0" xfId="1" applyFont="1"/>
    <xf numFmtId="2" fontId="14" fillId="0" borderId="0" xfId="1" applyNumberFormat="1" applyFont="1"/>
    <xf numFmtId="0" fontId="15" fillId="0" borderId="0" xfId="1" applyFont="1" applyAlignment="1">
      <alignment horizontal="center"/>
    </xf>
    <xf numFmtId="0" fontId="1" fillId="0" borderId="2" xfId="1" applyBorder="1"/>
    <xf numFmtId="17" fontId="1" fillId="0" borderId="0" xfId="1" applyNumberFormat="1"/>
    <xf numFmtId="2" fontId="2" fillId="4" borderId="23" xfId="1" applyNumberFormat="1" applyFont="1" applyFill="1" applyBorder="1" applyAlignment="1">
      <alignment horizontal="left"/>
    </xf>
    <xf numFmtId="0" fontId="2" fillId="4" borderId="17" xfId="1" applyFont="1" applyFill="1" applyBorder="1"/>
    <xf numFmtId="0" fontId="2" fillId="4" borderId="17" xfId="1" applyFont="1" applyFill="1" applyBorder="1" applyAlignment="1">
      <alignment horizontal="center"/>
    </xf>
    <xf numFmtId="0" fontId="4" fillId="4" borderId="17" xfId="1" applyFont="1" applyFill="1" applyBorder="1"/>
    <xf numFmtId="0" fontId="4" fillId="4" borderId="24" xfId="1" applyFont="1" applyFill="1" applyBorder="1"/>
    <xf numFmtId="2" fontId="2" fillId="4" borderId="25" xfId="1" applyNumberFormat="1" applyFont="1" applyFill="1" applyBorder="1" applyAlignment="1">
      <alignment horizontal="left"/>
    </xf>
    <xf numFmtId="0" fontId="2" fillId="4" borderId="11" xfId="1" applyFont="1" applyFill="1" applyBorder="1"/>
    <xf numFmtId="0" fontId="4" fillId="4" borderId="11" xfId="1" applyFont="1" applyFill="1" applyBorder="1"/>
    <xf numFmtId="0" fontId="4" fillId="4" borderId="26" xfId="1" applyFont="1" applyFill="1" applyBorder="1"/>
    <xf numFmtId="0" fontId="2" fillId="3" borderId="5" xfId="1" applyFont="1" applyFill="1" applyBorder="1"/>
    <xf numFmtId="2" fontId="5" fillId="3" borderId="5" xfId="1" applyNumberFormat="1" applyFont="1" applyFill="1" applyBorder="1" applyAlignment="1">
      <alignment horizontal="right"/>
    </xf>
    <xf numFmtId="0" fontId="3" fillId="0" borderId="0" xfId="1" applyFont="1" applyAlignment="1">
      <alignment horizontal="left"/>
    </xf>
    <xf numFmtId="0" fontId="2" fillId="0" borderId="5" xfId="1" applyFont="1" applyBorder="1" applyAlignment="1">
      <alignment horizontal="right"/>
    </xf>
    <xf numFmtId="164" fontId="11" fillId="0" borderId="0" xfId="1" applyNumberFormat="1" applyFont="1" applyAlignment="1">
      <alignment horizontal="center"/>
    </xf>
    <xf numFmtId="0" fontId="1" fillId="0" borderId="6" xfId="1" applyBorder="1"/>
    <xf numFmtId="0" fontId="1" fillId="2" borderId="0" xfId="1" applyFill="1" applyBorder="1"/>
    <xf numFmtId="0" fontId="2" fillId="2" borderId="0" xfId="1" applyFont="1" applyFill="1" applyBorder="1"/>
    <xf numFmtId="0" fontId="5" fillId="0" borderId="0" xfId="1" applyFont="1" applyBorder="1"/>
    <xf numFmtId="0" fontId="16" fillId="4" borderId="0" xfId="1" applyFont="1" applyFill="1"/>
    <xf numFmtId="2" fontId="2" fillId="0" borderId="0" xfId="1" applyNumberFormat="1" applyFont="1" applyBorder="1" applyAlignment="1">
      <alignment horizontal="center"/>
    </xf>
    <xf numFmtId="9" fontId="4" fillId="0" borderId="0" xfId="1" applyNumberFormat="1" applyFont="1" applyBorder="1" applyAlignment="1">
      <alignment horizontal="center"/>
    </xf>
    <xf numFmtId="0" fontId="4" fillId="0" borderId="0" xfId="1" applyFont="1" applyBorder="1" applyAlignment="1">
      <alignment horizontal="left"/>
    </xf>
    <xf numFmtId="0" fontId="2" fillId="4" borderId="23" xfId="1" applyFont="1" applyFill="1" applyBorder="1" applyAlignment="1">
      <alignment horizontal="left"/>
    </xf>
    <xf numFmtId="0" fontId="1" fillId="4" borderId="24" xfId="1" applyFill="1" applyBorder="1"/>
    <xf numFmtId="164" fontId="2" fillId="0" borderId="27" xfId="1" applyNumberFormat="1" applyFont="1" applyBorder="1" applyAlignment="1">
      <alignment horizontal="center"/>
    </xf>
    <xf numFmtId="164" fontId="2" fillId="0" borderId="28" xfId="1" applyNumberFormat="1" applyFont="1" applyBorder="1" applyAlignment="1">
      <alignment horizontal="center"/>
    </xf>
    <xf numFmtId="0" fontId="2" fillId="4" borderId="29" xfId="1" applyFont="1" applyFill="1" applyBorder="1" applyAlignment="1">
      <alignment horizontal="left"/>
    </xf>
    <xf numFmtId="0" fontId="2" fillId="4" borderId="0" xfId="1" quotePrefix="1" applyFont="1" applyFill="1" applyBorder="1" applyAlignment="1">
      <alignment horizontal="center"/>
    </xf>
    <xf numFmtId="0" fontId="1" fillId="4" borderId="6" xfId="1" applyFill="1" applyBorder="1"/>
    <xf numFmtId="16" fontId="2" fillId="4" borderId="0" xfId="1" quotePrefix="1" applyNumberFormat="1" applyFont="1" applyFill="1" applyBorder="1" applyAlignment="1">
      <alignment horizontal="center"/>
    </xf>
    <xf numFmtId="0" fontId="4" fillId="4" borderId="29" xfId="1" applyFont="1" applyFill="1" applyBorder="1" applyAlignment="1">
      <alignment horizontal="left"/>
    </xf>
    <xf numFmtId="0" fontId="4" fillId="4" borderId="0" xfId="1" applyFont="1" applyFill="1" applyBorder="1" applyAlignment="1">
      <alignment horizontal="center"/>
    </xf>
    <xf numFmtId="0" fontId="2" fillId="4" borderId="29" xfId="1" applyFont="1" applyFill="1" applyBorder="1"/>
    <xf numFmtId="0" fontId="2" fillId="4" borderId="0" xfId="1" applyFont="1" applyFill="1" applyBorder="1"/>
    <xf numFmtId="164" fontId="17" fillId="0" borderId="0" xfId="1" applyNumberFormat="1" applyFont="1" applyAlignment="1">
      <alignment horizontal="center"/>
    </xf>
    <xf numFmtId="0" fontId="4" fillId="4" borderId="29" xfId="1" applyFont="1" applyFill="1" applyBorder="1"/>
    <xf numFmtId="0" fontId="4" fillId="5" borderId="30" xfId="1" applyFont="1" applyFill="1" applyBorder="1" applyProtection="1">
      <protection locked="0"/>
    </xf>
    <xf numFmtId="0" fontId="18" fillId="4" borderId="0" xfId="1" applyFont="1" applyFill="1" applyBorder="1"/>
    <xf numFmtId="164" fontId="11" fillId="0" borderId="13" xfId="1" applyNumberFormat="1" applyFont="1" applyBorder="1" applyAlignment="1">
      <alignment horizontal="center"/>
    </xf>
    <xf numFmtId="2" fontId="11" fillId="0" borderId="14" xfId="1" applyNumberFormat="1" applyFont="1" applyBorder="1" applyAlignment="1">
      <alignment horizontal="center"/>
    </xf>
    <xf numFmtId="0" fontId="11" fillId="0" borderId="15" xfId="1" applyFont="1" applyBorder="1" applyAlignment="1">
      <alignment horizontal="left"/>
    </xf>
    <xf numFmtId="0" fontId="2" fillId="4" borderId="0" xfId="1" applyFont="1" applyFill="1" applyBorder="1" applyAlignment="1">
      <alignment horizontal="center"/>
    </xf>
    <xf numFmtId="0" fontId="4" fillId="4" borderId="0" xfId="1" applyFont="1" applyFill="1" applyBorder="1" applyAlignment="1">
      <alignment horizontal="left"/>
    </xf>
    <xf numFmtId="164" fontId="11" fillId="0" borderId="16" xfId="1" applyNumberFormat="1" applyFont="1" applyBorder="1" applyAlignment="1">
      <alignment horizontal="center"/>
    </xf>
    <xf numFmtId="0" fontId="11" fillId="4" borderId="0" xfId="1" applyFont="1" applyFill="1" applyBorder="1" applyAlignment="1">
      <alignment horizontal="center"/>
    </xf>
    <xf numFmtId="0" fontId="2" fillId="4" borderId="25" xfId="1" applyFont="1" applyFill="1" applyBorder="1"/>
    <xf numFmtId="0" fontId="18" fillId="4" borderId="11" xfId="1" applyFont="1" applyFill="1" applyBorder="1" applyAlignment="1">
      <alignment horizontal="left"/>
    </xf>
    <xf numFmtId="0" fontId="1" fillId="4" borderId="26" xfId="1" applyFill="1" applyBorder="1"/>
    <xf numFmtId="0" fontId="1" fillId="0" borderId="2" xfId="1" applyBorder="1" applyAlignment="1">
      <alignment horizontal="center"/>
    </xf>
    <xf numFmtId="2" fontId="1" fillId="0" borderId="0" xfId="1" applyNumberFormat="1"/>
    <xf numFmtId="0" fontId="20" fillId="0" borderId="0" xfId="1" applyFont="1"/>
    <xf numFmtId="164" fontId="5" fillId="0" borderId="0" xfId="1" applyNumberFormat="1" applyFont="1" applyAlignment="1">
      <alignment horizontal="right"/>
    </xf>
    <xf numFmtId="164" fontId="11" fillId="0" borderId="3" xfId="1" applyNumberFormat="1" applyFont="1" applyBorder="1" applyAlignment="1">
      <alignment horizontal="center"/>
    </xf>
    <xf numFmtId="164" fontId="5" fillId="0" borderId="5" xfId="1" applyNumberFormat="1" applyFont="1" applyBorder="1"/>
    <xf numFmtId="164" fontId="11" fillId="0" borderId="0" xfId="1" applyNumberFormat="1" applyFont="1" applyAlignment="1">
      <alignment horizontal="left"/>
    </xf>
    <xf numFmtId="0" fontId="11" fillId="0" borderId="0" xfId="1" applyFont="1" applyAlignment="1">
      <alignment horizontal="right"/>
    </xf>
    <xf numFmtId="164" fontId="5" fillId="0" borderId="0" xfId="1" applyNumberFormat="1" applyFont="1" applyAlignment="1">
      <alignment horizontal="left"/>
    </xf>
    <xf numFmtId="164" fontId="5" fillId="0" borderId="0" xfId="1" applyNumberFormat="1" applyFont="1" applyAlignment="1">
      <alignment horizontal="center"/>
    </xf>
    <xf numFmtId="0" fontId="5" fillId="0" borderId="0" xfId="1" applyFont="1" applyAlignment="1">
      <alignment horizontal="right"/>
    </xf>
    <xf numFmtId="0" fontId="6" fillId="0" borderId="0" xfId="1" applyFont="1"/>
    <xf numFmtId="164" fontId="11" fillId="0" borderId="1" xfId="1" applyNumberFormat="1" applyFont="1" applyBorder="1" applyAlignment="1">
      <alignment horizontal="center"/>
    </xf>
    <xf numFmtId="164" fontId="8" fillId="0" borderId="0" xfId="1" applyNumberFormat="1" applyFont="1" applyBorder="1"/>
    <xf numFmtId="0" fontId="2" fillId="0" borderId="0" xfId="1" applyFont="1" applyFill="1" applyBorder="1"/>
    <xf numFmtId="2" fontId="4" fillId="2" borderId="0" xfId="1" applyNumberFormat="1" applyFont="1" applyFill="1" applyBorder="1" applyAlignment="1">
      <alignment horizontal="left"/>
    </xf>
    <xf numFmtId="2" fontId="4" fillId="2" borderId="0" xfId="1" applyNumberFormat="1" applyFont="1" applyFill="1" applyAlignment="1">
      <alignment horizontal="right"/>
    </xf>
    <xf numFmtId="0" fontId="4" fillId="2" borderId="0" xfId="1" applyFont="1" applyFill="1" applyAlignment="1">
      <alignment horizontal="center"/>
    </xf>
    <xf numFmtId="2" fontId="4" fillId="2" borderId="6" xfId="1" applyNumberFormat="1" applyFont="1" applyFill="1" applyBorder="1" applyAlignment="1">
      <alignment horizontal="right"/>
    </xf>
    <xf numFmtId="0" fontId="12" fillId="3" borderId="0" xfId="1" applyFont="1" applyFill="1" applyBorder="1"/>
    <xf numFmtId="0" fontId="21" fillId="0" borderId="0" xfId="1" applyFont="1" applyBorder="1"/>
    <xf numFmtId="0" fontId="12" fillId="0" borderId="0" xfId="1" applyFont="1" applyBorder="1"/>
    <xf numFmtId="0" fontId="12" fillId="0" borderId="0" xfId="1" applyFont="1" applyBorder="1" applyAlignment="1">
      <alignment horizontal="right"/>
    </xf>
    <xf numFmtId="0" fontId="21" fillId="0" borderId="0" xfId="1" applyFont="1"/>
    <xf numFmtId="164" fontId="11" fillId="0" borderId="0" xfId="1" applyNumberFormat="1" applyFont="1" applyAlignment="1">
      <alignment horizontal="right"/>
    </xf>
    <xf numFmtId="0" fontId="2" fillId="4" borderId="31" xfId="1" applyFont="1" applyFill="1" applyBorder="1" applyAlignment="1">
      <alignment horizontal="left"/>
    </xf>
    <xf numFmtId="0" fontId="2" fillId="4" borderId="31" xfId="1" applyFont="1" applyFill="1" applyBorder="1" applyAlignment="1">
      <alignment horizontal="center"/>
    </xf>
    <xf numFmtId="0" fontId="2" fillId="4" borderId="31" xfId="1" quotePrefix="1" applyFont="1" applyFill="1" applyBorder="1" applyAlignment="1">
      <alignment horizontal="center"/>
    </xf>
    <xf numFmtId="16" fontId="2" fillId="4" borderId="31" xfId="1" quotePrefix="1" applyNumberFormat="1" applyFont="1" applyFill="1" applyBorder="1" applyAlignment="1">
      <alignment horizontal="center"/>
    </xf>
    <xf numFmtId="0" fontId="4" fillId="3" borderId="31" xfId="1" applyFont="1" applyFill="1" applyBorder="1" applyProtection="1">
      <protection locked="0"/>
    </xf>
    <xf numFmtId="0" fontId="12" fillId="4" borderId="0" xfId="1" applyFont="1" applyFill="1" applyBorder="1" applyAlignment="1">
      <alignment horizontal="center"/>
    </xf>
    <xf numFmtId="0" fontId="22" fillId="4" borderId="0" xfId="1" applyFont="1" applyFill="1" applyBorder="1" applyAlignment="1">
      <alignment horizontal="center"/>
    </xf>
    <xf numFmtId="0" fontId="22" fillId="4" borderId="11" xfId="1" applyFont="1" applyFill="1" applyBorder="1" applyAlignment="1">
      <alignment horizontal="center"/>
    </xf>
    <xf numFmtId="164" fontId="11" fillId="0" borderId="22" xfId="1" applyNumberFormat="1" applyFont="1" applyBorder="1" applyAlignment="1">
      <alignment horizontal="center"/>
    </xf>
    <xf numFmtId="0" fontId="11" fillId="0" borderId="0" xfId="1" applyFont="1" applyAlignment="1">
      <alignment horizontal="center"/>
    </xf>
    <xf numFmtId="2" fontId="23" fillId="0" borderId="0" xfId="1" applyNumberFormat="1" applyFont="1"/>
    <xf numFmtId="164" fontId="11" fillId="0" borderId="0" xfId="1" applyNumberFormat="1" applyFont="1"/>
    <xf numFmtId="0" fontId="9" fillId="0" borderId="0" xfId="1" applyFont="1" applyAlignment="1">
      <alignment horizontal="center"/>
    </xf>
    <xf numFmtId="2" fontId="1" fillId="0" borderId="0" xfId="1" applyNumberFormat="1" applyAlignment="1">
      <alignment horizontal="center"/>
    </xf>
    <xf numFmtId="2" fontId="5" fillId="0" borderId="0" xfId="1" applyNumberFormat="1" applyFont="1" applyAlignment="1">
      <alignment horizontal="right"/>
    </xf>
    <xf numFmtId="2" fontId="2" fillId="0" borderId="0" xfId="1" applyNumberFormat="1" applyFont="1" applyAlignment="1">
      <alignment horizontal="left"/>
    </xf>
    <xf numFmtId="0" fontId="22" fillId="4" borderId="0" xfId="1" applyFont="1" applyFill="1" applyAlignment="1">
      <alignment horizontal="right"/>
    </xf>
    <xf numFmtId="0" fontId="21" fillId="4" borderId="0" xfId="1" applyFont="1" applyFill="1"/>
    <xf numFmtId="0" fontId="1" fillId="0" borderId="0" xfId="1" applyAlignment="1">
      <alignment horizontal="center" textRotation="90"/>
    </xf>
    <xf numFmtId="2" fontId="11" fillId="0" borderId="3" xfId="1" applyNumberFormat="1" applyFont="1" applyBorder="1" applyAlignment="1">
      <alignment horizontal="center"/>
    </xf>
    <xf numFmtId="0" fontId="20" fillId="0" borderId="0" xfId="1" applyFont="1" applyAlignment="1">
      <alignment horizontal="center"/>
    </xf>
    <xf numFmtId="0" fontId="1" fillId="0" borderId="9" xfId="1" applyBorder="1" applyAlignment="1">
      <alignment horizontal="center"/>
    </xf>
    <xf numFmtId="0" fontId="4" fillId="0" borderId="5" xfId="1" applyFont="1" applyBorder="1" applyAlignment="1">
      <alignment horizontal="center"/>
    </xf>
    <xf numFmtId="16" fontId="20" fillId="0" borderId="0" xfId="1" quotePrefix="1" applyNumberFormat="1" applyFont="1" applyAlignment="1">
      <alignment horizontal="center"/>
    </xf>
    <xf numFmtId="2" fontId="4" fillId="0" borderId="0" xfId="1" applyNumberFormat="1" applyFont="1"/>
    <xf numFmtId="0" fontId="1" fillId="0" borderId="0" xfId="1" applyBorder="1" applyAlignment="1">
      <alignment horizontal="center"/>
    </xf>
    <xf numFmtId="0" fontId="9" fillId="0" borderId="0" xfId="1" applyFont="1" applyAlignment="1">
      <alignment horizontal="left"/>
    </xf>
    <xf numFmtId="0" fontId="1" fillId="0" borderId="3" xfId="1" applyBorder="1" applyAlignment="1">
      <alignment horizontal="center"/>
    </xf>
    <xf numFmtId="2" fontId="20" fillId="0" borderId="0" xfId="1" applyNumberFormat="1" applyFont="1" applyAlignment="1">
      <alignment horizontal="center"/>
    </xf>
    <xf numFmtId="2" fontId="11" fillId="0" borderId="0" xfId="1" applyNumberFormat="1" applyFont="1" applyAlignment="1">
      <alignment horizontal="right"/>
    </xf>
    <xf numFmtId="2" fontId="11" fillId="0" borderId="0" xfId="1" applyNumberFormat="1" applyFont="1" applyAlignment="1">
      <alignment horizontal="left"/>
    </xf>
    <xf numFmtId="0" fontId="2" fillId="0" borderId="0" xfId="1" applyFont="1" applyBorder="1" applyAlignment="1">
      <alignment horizontal="right"/>
    </xf>
    <xf numFmtId="2" fontId="4" fillId="0" borderId="0" xfId="1" applyNumberFormat="1" applyFont="1" applyAlignment="1">
      <alignment horizontal="left"/>
    </xf>
    <xf numFmtId="2" fontId="5" fillId="0" borderId="0" xfId="1" applyNumberFormat="1" applyFont="1" applyAlignment="1">
      <alignment horizontal="center"/>
    </xf>
    <xf numFmtId="2" fontId="2" fillId="0" borderId="6" xfId="1" applyNumberFormat="1" applyFont="1" applyBorder="1"/>
    <xf numFmtId="0" fontId="12" fillId="0" borderId="0" xfId="1" applyFont="1"/>
    <xf numFmtId="0" fontId="12" fillId="0" borderId="0" xfId="1" applyFont="1" applyAlignment="1">
      <alignment horizontal="right"/>
    </xf>
    <xf numFmtId="2" fontId="4" fillId="0" borderId="0" xfId="1" applyNumberFormat="1" applyFont="1" applyAlignment="1">
      <alignment horizontal="right"/>
    </xf>
    <xf numFmtId="2" fontId="2" fillId="0" borderId="28" xfId="1" applyNumberFormat="1" applyFont="1" applyBorder="1" applyAlignment="1">
      <alignment horizontal="center"/>
    </xf>
    <xf numFmtId="0" fontId="4" fillId="0" borderId="9" xfId="1" applyFont="1" applyBorder="1" applyAlignment="1">
      <alignment horizontal="center"/>
    </xf>
    <xf numFmtId="2" fontId="5" fillId="0" borderId="27" xfId="1" applyNumberFormat="1" applyFont="1" applyBorder="1" applyAlignment="1" applyProtection="1">
      <alignment horizontal="center"/>
    </xf>
    <xf numFmtId="2" fontId="8" fillId="0" borderId="7" xfId="1" applyNumberFormat="1" applyFont="1" applyBorder="1" applyAlignment="1" applyProtection="1">
      <alignment horizontal="center"/>
    </xf>
    <xf numFmtId="0" fontId="5" fillId="0" borderId="8" xfId="1" applyFont="1" applyBorder="1" applyAlignment="1">
      <alignment horizontal="left"/>
    </xf>
    <xf numFmtId="0" fontId="12" fillId="4" borderId="0" xfId="1" applyFont="1" applyFill="1" applyAlignment="1">
      <alignment horizontal="left"/>
    </xf>
    <xf numFmtId="0" fontId="12" fillId="4" borderId="0" xfId="1" applyFont="1" applyFill="1" applyAlignment="1">
      <alignment horizontal="center"/>
    </xf>
    <xf numFmtId="2" fontId="2" fillId="0" borderId="16" xfId="1" applyNumberFormat="1" applyFont="1" applyBorder="1" applyAlignment="1">
      <alignment horizontal="center"/>
    </xf>
    <xf numFmtId="2" fontId="2" fillId="0" borderId="13" xfId="1" applyNumberFormat="1" applyFont="1" applyBorder="1" applyAlignment="1">
      <alignment horizontal="center"/>
    </xf>
    <xf numFmtId="0" fontId="12" fillId="4" borderId="0" xfId="1" quotePrefix="1" applyFont="1" applyFill="1" applyAlignment="1">
      <alignment horizontal="center"/>
    </xf>
    <xf numFmtId="0" fontId="4" fillId="0" borderId="18" xfId="1" applyFont="1" applyBorder="1" applyAlignment="1">
      <alignment horizontal="center"/>
    </xf>
    <xf numFmtId="2" fontId="5" fillId="0" borderId="13" xfId="1" applyNumberFormat="1" applyFont="1" applyBorder="1" applyAlignment="1">
      <alignment horizontal="center"/>
    </xf>
    <xf numFmtId="0" fontId="5" fillId="0" borderId="15" xfId="1" applyFont="1" applyBorder="1" applyAlignment="1">
      <alignment horizontal="left"/>
    </xf>
    <xf numFmtId="16" fontId="12" fillId="4" borderId="0" xfId="1" quotePrefix="1" applyNumberFormat="1" applyFont="1" applyFill="1" applyAlignment="1">
      <alignment horizontal="center"/>
    </xf>
    <xf numFmtId="2" fontId="11" fillId="0" borderId="16" xfId="1" applyNumberFormat="1" applyFont="1" applyBorder="1" applyAlignment="1">
      <alignment horizontal="center"/>
    </xf>
    <xf numFmtId="0" fontId="4" fillId="0" borderId="15" xfId="1" applyFont="1" applyBorder="1"/>
    <xf numFmtId="0" fontId="12" fillId="4" borderId="0" xfId="1" applyFont="1" applyFill="1" applyBorder="1"/>
    <xf numFmtId="0" fontId="1" fillId="0" borderId="3" xfId="1" applyBorder="1"/>
    <xf numFmtId="2" fontId="4" fillId="0" borderId="0" xfId="1" applyNumberFormat="1" applyFont="1" applyAlignment="1">
      <alignment horizontal="center"/>
    </xf>
    <xf numFmtId="0" fontId="2" fillId="0" borderId="32" xfId="1" applyFont="1" applyBorder="1"/>
    <xf numFmtId="0" fontId="2" fillId="0" borderId="33" xfId="1" applyFont="1" applyBorder="1" applyAlignment="1">
      <alignment horizontal="center"/>
    </xf>
    <xf numFmtId="0" fontId="4" fillId="0" borderId="34" xfId="1" applyFont="1" applyBorder="1"/>
    <xf numFmtId="0" fontId="1" fillId="0" borderId="0" xfId="1" quotePrefix="1"/>
    <xf numFmtId="0" fontId="12" fillId="0" borderId="0" xfId="1" applyFont="1" applyAlignment="1">
      <alignment horizontal="center"/>
    </xf>
    <xf numFmtId="0" fontId="5" fillId="0" borderId="0" xfId="1" applyFont="1"/>
    <xf numFmtId="0" fontId="22" fillId="4" borderId="0" xfId="1" applyFont="1" applyFill="1"/>
    <xf numFmtId="0" fontId="1" fillId="0" borderId="22" xfId="1" applyBorder="1"/>
    <xf numFmtId="0" fontId="10" fillId="0" borderId="0" xfId="1" applyFont="1" applyAlignment="1">
      <alignment horizontal="center"/>
    </xf>
    <xf numFmtId="0" fontId="22" fillId="4" borderId="0" xfId="1" applyFont="1" applyFill="1" applyProtection="1"/>
    <xf numFmtId="2" fontId="11" fillId="0" borderId="13" xfId="1" applyNumberFormat="1" applyFont="1" applyBorder="1" applyAlignment="1">
      <alignment horizontal="center"/>
    </xf>
    <xf numFmtId="0" fontId="22" fillId="4" borderId="0" xfId="1" applyFont="1" applyFill="1" applyAlignment="1" applyProtection="1">
      <alignment horizontal="left"/>
    </xf>
    <xf numFmtId="0" fontId="22" fillId="4" borderId="0" xfId="1" applyFont="1" applyFill="1" applyBorder="1" applyAlignment="1">
      <alignment horizontal="left"/>
    </xf>
    <xf numFmtId="0" fontId="12" fillId="4" borderId="0" xfId="1" applyFont="1" applyFill="1" applyAlignment="1">
      <alignment horizontal="right"/>
    </xf>
    <xf numFmtId="0" fontId="20" fillId="0" borderId="3" xfId="1" applyFont="1" applyBorder="1" applyAlignment="1">
      <alignment horizontal="center"/>
    </xf>
    <xf numFmtId="2" fontId="11" fillId="0" borderId="0" xfId="1" applyNumberFormat="1" applyFont="1" applyAlignment="1">
      <alignment horizontal="center"/>
    </xf>
    <xf numFmtId="0" fontId="11" fillId="0" borderId="0" xfId="1" applyFont="1" applyFill="1" applyAlignment="1">
      <alignment horizontal="right"/>
    </xf>
    <xf numFmtId="0" fontId="20" fillId="0" borderId="0" xfId="1" applyFont="1" applyFill="1"/>
    <xf numFmtId="2" fontId="21" fillId="0" borderId="28" xfId="1" applyNumberFormat="1" applyFont="1" applyBorder="1" applyAlignment="1">
      <alignment horizontal="center"/>
    </xf>
    <xf numFmtId="2" fontId="21" fillId="0" borderId="5" xfId="1" applyNumberFormat="1" applyFont="1" applyBorder="1" applyAlignment="1">
      <alignment horizontal="center"/>
    </xf>
    <xf numFmtId="0" fontId="2" fillId="0" borderId="9" xfId="1" applyFont="1" applyBorder="1" applyAlignment="1">
      <alignment horizontal="center"/>
    </xf>
    <xf numFmtId="0" fontId="4" fillId="0" borderId="8" xfId="1" applyFont="1" applyBorder="1" applyAlignment="1">
      <alignment horizontal="left"/>
    </xf>
    <xf numFmtId="2" fontId="21" fillId="0" borderId="16" xfId="1" applyNumberFormat="1" applyFont="1" applyBorder="1" applyAlignment="1">
      <alignment horizontal="center"/>
    </xf>
    <xf numFmtId="2" fontId="21" fillId="0" borderId="17" xfId="1" applyNumberFormat="1" applyFont="1" applyBorder="1" applyAlignment="1">
      <alignment horizontal="center"/>
    </xf>
    <xf numFmtId="0" fontId="2" fillId="0" borderId="18" xfId="1" applyFont="1" applyBorder="1" applyAlignment="1">
      <alignment horizontal="center"/>
    </xf>
    <xf numFmtId="2" fontId="12" fillId="0" borderId="16" xfId="1" applyNumberFormat="1" applyFont="1" applyBorder="1" applyAlignment="1">
      <alignment horizontal="center"/>
    </xf>
    <xf numFmtId="2" fontId="12" fillId="0" borderId="17" xfId="1" applyNumberFormat="1" applyFont="1" applyBorder="1" applyAlignment="1">
      <alignment horizontal="center"/>
    </xf>
    <xf numFmtId="0" fontId="20" fillId="0" borderId="3" xfId="1" applyFont="1" applyBorder="1"/>
    <xf numFmtId="0" fontId="12" fillId="4" borderId="21" xfId="1" applyFont="1" applyFill="1" applyBorder="1" applyProtection="1">
      <protection locked="0"/>
    </xf>
    <xf numFmtId="0" fontId="11" fillId="0" borderId="0" xfId="1" applyFont="1"/>
    <xf numFmtId="2" fontId="21" fillId="0" borderId="13" xfId="1" applyNumberFormat="1" applyFont="1" applyBorder="1" applyAlignment="1">
      <alignment horizontal="center"/>
    </xf>
    <xf numFmtId="2" fontId="21" fillId="0" borderId="14" xfId="1" applyNumberFormat="1" applyFont="1" applyBorder="1" applyAlignment="1">
      <alignment horizontal="center"/>
    </xf>
    <xf numFmtId="0" fontId="12" fillId="4" borderId="0" xfId="1" applyFont="1" applyFill="1" applyProtection="1"/>
    <xf numFmtId="0" fontId="12" fillId="4" borderId="0" xfId="1" applyFont="1" applyFill="1" applyAlignment="1" applyProtection="1">
      <alignment horizontal="left"/>
    </xf>
    <xf numFmtId="0" fontId="12" fillId="4" borderId="0" xfId="1" applyFont="1" applyFill="1" applyBorder="1" applyAlignment="1" applyProtection="1">
      <alignment horizontal="left"/>
    </xf>
    <xf numFmtId="0" fontId="12" fillId="4" borderId="0" xfId="1" applyFont="1" applyFill="1" applyBorder="1" applyAlignment="1">
      <alignment horizontal="left"/>
    </xf>
    <xf numFmtId="0" fontId="12" fillId="0" borderId="17" xfId="1" applyFont="1" applyBorder="1" applyAlignment="1">
      <alignment horizontal="center"/>
    </xf>
    <xf numFmtId="0" fontId="9" fillId="4" borderId="35" xfId="1" applyFont="1" applyFill="1" applyBorder="1"/>
    <xf numFmtId="0" fontId="2" fillId="4" borderId="14" xfId="1" applyFont="1" applyFill="1" applyBorder="1"/>
    <xf numFmtId="0" fontId="10" fillId="4" borderId="14" xfId="1" applyFont="1" applyFill="1" applyBorder="1"/>
    <xf numFmtId="0" fontId="1" fillId="4" borderId="36" xfId="1" applyFill="1" applyBorder="1"/>
    <xf numFmtId="0" fontId="18" fillId="4" borderId="37" xfId="1" applyFont="1" applyFill="1" applyBorder="1" applyAlignment="1">
      <alignment horizontal="left"/>
    </xf>
    <xf numFmtId="0" fontId="10" fillId="4" borderId="0" xfId="1" applyFont="1" applyFill="1" applyBorder="1"/>
    <xf numFmtId="0" fontId="5" fillId="4" borderId="0" xfId="1" applyFont="1" applyFill="1"/>
    <xf numFmtId="0" fontId="22" fillId="4" borderId="0" xfId="1" applyFont="1" applyFill="1" applyBorder="1" applyProtection="1"/>
    <xf numFmtId="0" fontId="22" fillId="4" borderId="0" xfId="1" applyFont="1" applyFill="1" applyBorder="1" applyAlignment="1" applyProtection="1">
      <alignment horizontal="left"/>
    </xf>
    <xf numFmtId="164" fontId="2" fillId="0" borderId="0" xfId="1" applyNumberFormat="1" applyFont="1" applyAlignment="1">
      <alignment horizontal="right"/>
    </xf>
    <xf numFmtId="164" fontId="2" fillId="0" borderId="4" xfId="1" applyNumberFormat="1" applyFont="1" applyBorder="1"/>
    <xf numFmtId="164" fontId="1" fillId="0" borderId="0" xfId="1" applyNumberFormat="1"/>
    <xf numFmtId="0" fontId="4" fillId="4" borderId="0" xfId="1" applyFont="1" applyFill="1"/>
    <xf numFmtId="0" fontId="4" fillId="5" borderId="21" xfId="1" applyFont="1" applyFill="1" applyBorder="1" applyProtection="1">
      <protection locked="0"/>
    </xf>
    <xf numFmtId="164" fontId="4" fillId="0" borderId="5" xfId="1" applyNumberFormat="1" applyFont="1" applyBorder="1" applyAlignment="1">
      <alignment horizontal="right"/>
    </xf>
    <xf numFmtId="164" fontId="4" fillId="0" borderId="5" xfId="1" applyNumberFormat="1" applyFont="1" applyBorder="1" applyAlignment="1">
      <alignment horizontal="center"/>
    </xf>
    <xf numFmtId="164" fontId="4" fillId="0" borderId="5" xfId="1" applyNumberFormat="1" applyFont="1" applyBorder="1"/>
    <xf numFmtId="0" fontId="6" fillId="4" borderId="0" xfId="1" applyFont="1" applyFill="1" applyBorder="1" applyProtection="1"/>
    <xf numFmtId="0" fontId="2" fillId="4" borderId="0" xfId="1" applyFont="1" applyFill="1" applyProtection="1"/>
    <xf numFmtId="164" fontId="2" fillId="0" borderId="29" xfId="1" applyNumberFormat="1" applyFont="1" applyBorder="1"/>
    <xf numFmtId="1" fontId="10" fillId="4" borderId="31" xfId="1" applyNumberFormat="1" applyFont="1" applyFill="1" applyBorder="1" applyAlignment="1" applyProtection="1">
      <alignment horizontal="center"/>
    </xf>
    <xf numFmtId="0" fontId="4" fillId="4" borderId="0" xfId="1" applyFont="1" applyFill="1" applyProtection="1"/>
    <xf numFmtId="0" fontId="2" fillId="4" borderId="0" xfId="1" applyFont="1" applyFill="1" applyAlignment="1" applyProtection="1">
      <alignment horizontal="center"/>
    </xf>
    <xf numFmtId="0" fontId="2" fillId="4" borderId="0" xfId="1" applyFont="1" applyFill="1" applyAlignment="1" applyProtection="1">
      <alignment horizontal="left"/>
    </xf>
    <xf numFmtId="0" fontId="10" fillId="4" borderId="0" xfId="1" applyFont="1" applyFill="1" applyBorder="1" applyProtection="1"/>
    <xf numFmtId="0" fontId="2" fillId="0" borderId="0" xfId="1" applyFont="1" applyProtection="1"/>
    <xf numFmtId="164" fontId="2" fillId="0" borderId="38" xfId="1" applyNumberFormat="1" applyFont="1" applyBorder="1" applyAlignment="1">
      <alignment horizontal="center"/>
    </xf>
    <xf numFmtId="9" fontId="2" fillId="0" borderId="39" xfId="1" applyNumberFormat="1" applyFont="1" applyBorder="1" applyAlignment="1">
      <alignment horizontal="center"/>
    </xf>
    <xf numFmtId="164" fontId="24" fillId="4" borderId="38" xfId="1" applyNumberFormat="1" applyFont="1" applyFill="1" applyBorder="1" applyAlignment="1" applyProtection="1">
      <alignment horizontal="center"/>
      <protection hidden="1"/>
    </xf>
    <xf numFmtId="2" fontId="24" fillId="4" borderId="30" xfId="1" applyNumberFormat="1" applyFont="1" applyFill="1" applyBorder="1" applyAlignment="1" applyProtection="1">
      <alignment horizontal="center"/>
      <protection hidden="1"/>
    </xf>
    <xf numFmtId="0" fontId="4" fillId="4" borderId="39" xfId="1" applyFont="1" applyFill="1" applyBorder="1" applyAlignment="1">
      <alignment horizontal="left"/>
    </xf>
    <xf numFmtId="0" fontId="10" fillId="4" borderId="0" xfId="1" applyFont="1" applyFill="1" applyAlignment="1" applyProtection="1">
      <alignment horizontal="left"/>
    </xf>
    <xf numFmtId="164" fontId="2" fillId="0" borderId="40" xfId="1" applyNumberFormat="1" applyFont="1" applyBorder="1" applyAlignment="1">
      <alignment horizontal="center"/>
    </xf>
    <xf numFmtId="0" fontId="2" fillId="0" borderId="41" xfId="1" applyFont="1" applyBorder="1" applyAlignment="1">
      <alignment horizontal="center"/>
    </xf>
    <xf numFmtId="164" fontId="2" fillId="0" borderId="38" xfId="1" applyNumberFormat="1" applyFont="1" applyFill="1" applyBorder="1" applyAlignment="1">
      <alignment horizontal="center"/>
    </xf>
    <xf numFmtId="2" fontId="2" fillId="0" borderId="42" xfId="1" applyNumberFormat="1" applyFont="1" applyFill="1" applyBorder="1" applyAlignment="1">
      <alignment horizontal="center"/>
    </xf>
    <xf numFmtId="0" fontId="4" fillId="0" borderId="39" xfId="1" applyFont="1" applyFill="1" applyBorder="1" applyAlignment="1">
      <alignment horizontal="left"/>
    </xf>
    <xf numFmtId="164" fontId="5" fillId="4" borderId="43" xfId="1" applyNumberFormat="1" applyFont="1" applyFill="1" applyBorder="1" applyAlignment="1">
      <alignment horizontal="center"/>
    </xf>
    <xf numFmtId="2" fontId="5" fillId="4" borderId="14" xfId="1" applyNumberFormat="1" applyFont="1" applyFill="1" applyBorder="1" applyAlignment="1">
      <alignment horizontal="center"/>
    </xf>
    <xf numFmtId="0" fontId="4" fillId="4" borderId="44" xfId="1" applyFont="1" applyFill="1" applyBorder="1" applyAlignment="1">
      <alignment horizontal="left"/>
    </xf>
    <xf numFmtId="164" fontId="4" fillId="4" borderId="0" xfId="1" applyNumberFormat="1" applyFont="1" applyFill="1" applyAlignment="1" applyProtection="1">
      <alignment horizontal="left"/>
    </xf>
    <xf numFmtId="0" fontId="4" fillId="4" borderId="0" xfId="1" quotePrefix="1" applyFont="1" applyFill="1" applyAlignment="1" applyProtection="1">
      <alignment horizontal="right"/>
    </xf>
    <xf numFmtId="164" fontId="5" fillId="4" borderId="40" xfId="1" applyNumberFormat="1" applyFont="1" applyFill="1" applyBorder="1" applyAlignment="1">
      <alignment horizontal="center"/>
    </xf>
    <xf numFmtId="2" fontId="5" fillId="4" borderId="17" xfId="1" applyNumberFormat="1" applyFont="1" applyFill="1" applyBorder="1" applyAlignment="1">
      <alignment horizontal="center"/>
    </xf>
    <xf numFmtId="0" fontId="2" fillId="4" borderId="41" xfId="1" applyFont="1" applyFill="1" applyBorder="1" applyAlignment="1">
      <alignment horizontal="center"/>
    </xf>
    <xf numFmtId="164" fontId="2" fillId="0" borderId="40" xfId="1" applyNumberFormat="1" applyFont="1" applyFill="1" applyBorder="1" applyAlignment="1">
      <alignment horizontal="center"/>
    </xf>
    <xf numFmtId="2" fontId="2" fillId="0" borderId="17" xfId="1" applyNumberFormat="1" applyFont="1" applyFill="1" applyBorder="1" applyAlignment="1">
      <alignment horizontal="center"/>
    </xf>
    <xf numFmtId="0" fontId="4" fillId="0" borderId="41" xfId="1" applyFont="1" applyFill="1" applyBorder="1" applyAlignment="1">
      <alignment horizontal="left"/>
    </xf>
    <xf numFmtId="16" fontId="4" fillId="4" borderId="0" xfId="1" quotePrefix="1" applyNumberFormat="1" applyFont="1" applyFill="1" applyAlignment="1" applyProtection="1">
      <alignment horizontal="right"/>
    </xf>
    <xf numFmtId="0" fontId="1" fillId="0" borderId="38" xfId="1" applyBorder="1" applyAlignment="1">
      <alignment horizontal="left"/>
    </xf>
    <xf numFmtId="0" fontId="2" fillId="0" borderId="39" xfId="1" applyFont="1" applyFill="1" applyBorder="1" applyAlignment="1">
      <alignment horizontal="right"/>
    </xf>
    <xf numFmtId="164" fontId="2" fillId="0" borderId="17" xfId="1" applyNumberFormat="1" applyFont="1" applyBorder="1" applyAlignment="1">
      <alignment horizontal="center"/>
    </xf>
    <xf numFmtId="0" fontId="4" fillId="0" borderId="41" xfId="1" applyFont="1" applyFill="1" applyBorder="1"/>
    <xf numFmtId="0" fontId="1" fillId="0" borderId="43" xfId="1" applyBorder="1" applyAlignment="1">
      <alignment horizontal="left"/>
    </xf>
    <xf numFmtId="0" fontId="2" fillId="0" borderId="44" xfId="1" applyFont="1" applyFill="1" applyBorder="1" applyAlignment="1">
      <alignment horizontal="right"/>
    </xf>
    <xf numFmtId="164" fontId="2" fillId="0" borderId="45" xfId="1" applyNumberFormat="1" applyFont="1" applyFill="1" applyBorder="1"/>
    <xf numFmtId="0" fontId="2" fillId="0" borderId="46" xfId="1" applyFont="1" applyFill="1" applyBorder="1" applyAlignment="1">
      <alignment horizontal="center"/>
    </xf>
    <xf numFmtId="0" fontId="4" fillId="0" borderId="47" xfId="1" applyFont="1" applyFill="1" applyBorder="1"/>
    <xf numFmtId="164" fontId="2" fillId="0" borderId="43" xfId="1" applyNumberFormat="1" applyFont="1" applyBorder="1" applyAlignment="1">
      <alignment horizontal="center"/>
    </xf>
    <xf numFmtId="0" fontId="4" fillId="0" borderId="14" xfId="1" applyFont="1" applyBorder="1" applyAlignment="1">
      <alignment horizontal="center"/>
    </xf>
    <xf numFmtId="0" fontId="2" fillId="0" borderId="44" xfId="1" applyFont="1" applyBorder="1"/>
    <xf numFmtId="16" fontId="4" fillId="4" borderId="0" xfId="1" applyNumberFormat="1" applyFont="1" applyFill="1" applyAlignment="1" applyProtection="1">
      <alignment horizontal="right"/>
    </xf>
    <xf numFmtId="164" fontId="2" fillId="0" borderId="0" xfId="1" applyNumberFormat="1" applyFont="1" applyBorder="1" applyAlignment="1">
      <alignment horizontal="center"/>
    </xf>
    <xf numFmtId="0" fontId="4" fillId="0" borderId="48" xfId="1" applyFont="1" applyBorder="1" applyAlignment="1">
      <alignment horizontal="left"/>
    </xf>
    <xf numFmtId="0" fontId="4" fillId="4" borderId="0" xfId="1" applyFont="1" applyFill="1" applyAlignment="1" applyProtection="1">
      <alignment horizontal="right"/>
    </xf>
    <xf numFmtId="0" fontId="4" fillId="0" borderId="41" xfId="1" applyFont="1" applyBorder="1" applyAlignment="1">
      <alignment horizontal="left"/>
    </xf>
    <xf numFmtId="12" fontId="4" fillId="4" borderId="0" xfId="1" applyNumberFormat="1" applyFont="1" applyFill="1" applyAlignment="1" applyProtection="1">
      <alignment horizontal="right"/>
    </xf>
    <xf numFmtId="164" fontId="2" fillId="0" borderId="14" xfId="1" applyNumberFormat="1" applyFont="1" applyBorder="1" applyAlignment="1">
      <alignment horizontal="center"/>
    </xf>
    <xf numFmtId="0" fontId="4" fillId="0" borderId="44" xfId="1" applyFont="1" applyBorder="1" applyAlignment="1">
      <alignment horizontal="left"/>
    </xf>
    <xf numFmtId="0" fontId="4" fillId="5" borderId="21" xfId="1" applyFont="1" applyFill="1" applyBorder="1" applyAlignment="1" applyProtection="1">
      <alignment horizontal="right"/>
      <protection locked="0"/>
    </xf>
    <xf numFmtId="0" fontId="2" fillId="0" borderId="44" xfId="1" applyFont="1" applyBorder="1" applyAlignment="1">
      <alignment horizontal="right"/>
    </xf>
    <xf numFmtId="0" fontId="4" fillId="4" borderId="0" xfId="1" applyFont="1" applyFill="1" applyBorder="1" applyAlignment="1">
      <alignment horizontal="right"/>
    </xf>
    <xf numFmtId="0" fontId="4" fillId="0" borderId="41" xfId="1" applyFont="1" applyBorder="1"/>
    <xf numFmtId="0" fontId="2" fillId="3" borderId="0" xfId="1" applyFont="1" applyFill="1" applyBorder="1"/>
    <xf numFmtId="0" fontId="1" fillId="0" borderId="45" xfId="1" applyBorder="1" applyAlignment="1">
      <alignment horizontal="left"/>
    </xf>
    <xf numFmtId="0" fontId="2" fillId="0" borderId="47" xfId="1" applyFont="1" applyBorder="1" applyAlignment="1">
      <alignment horizontal="right"/>
    </xf>
    <xf numFmtId="0" fontId="2" fillId="0" borderId="46" xfId="1" applyFont="1" applyBorder="1" applyAlignment="1">
      <alignment horizontal="center"/>
    </xf>
    <xf numFmtId="0" fontId="2" fillId="0" borderId="47" xfId="1" applyFont="1" applyBorder="1"/>
    <xf numFmtId="0" fontId="4" fillId="4" borderId="49" xfId="1" applyFont="1" applyFill="1" applyBorder="1" applyAlignment="1">
      <alignment horizontal="left"/>
    </xf>
    <xf numFmtId="0" fontId="10" fillId="4" borderId="0" xfId="1" applyFont="1" applyFill="1" applyBorder="1" applyAlignment="1">
      <alignment horizontal="left"/>
    </xf>
    <xf numFmtId="164" fontId="2" fillId="0" borderId="0" xfId="1" applyNumberFormat="1" applyFont="1" applyAlignment="1">
      <alignment horizontal="center"/>
    </xf>
    <xf numFmtId="164" fontId="2" fillId="0" borderId="6" xfId="1" applyNumberFormat="1" applyFont="1" applyBorder="1"/>
    <xf numFmtId="0" fontId="4" fillId="4" borderId="0" xfId="1" applyFont="1" applyFill="1" applyAlignment="1" applyProtection="1">
      <alignment horizontal="left"/>
    </xf>
    <xf numFmtId="164" fontId="1" fillId="0" borderId="2" xfId="1" applyNumberFormat="1" applyBorder="1"/>
    <xf numFmtId="0" fontId="1" fillId="6" borderId="2" xfId="1" applyFill="1" applyBorder="1"/>
    <xf numFmtId="0" fontId="1" fillId="6" borderId="0" xfId="1" applyFill="1"/>
    <xf numFmtId="164" fontId="1" fillId="0" borderId="0" xfId="1" applyNumberFormat="1" applyAlignment="1">
      <alignment horizontal="left"/>
    </xf>
    <xf numFmtId="0" fontId="1" fillId="0" borderId="0" xfId="1" applyAlignment="1">
      <alignment horizontal="right"/>
    </xf>
    <xf numFmtId="2" fontId="1" fillId="0" borderId="0" xfId="1" applyNumberFormat="1" applyAlignment="1">
      <alignment horizontal="right"/>
    </xf>
    <xf numFmtId="164" fontId="1" fillId="0" borderId="2" xfId="1" applyNumberFormat="1" applyBorder="1" applyAlignment="1">
      <alignment horizontal="left"/>
    </xf>
    <xf numFmtId="0" fontId="1" fillId="0" borderId="2" xfId="1" applyBorder="1" applyAlignment="1">
      <alignment horizontal="right"/>
    </xf>
    <xf numFmtId="164" fontId="1" fillId="0" borderId="2" xfId="1" applyNumberFormat="1" applyBorder="1" applyAlignment="1">
      <alignment horizontal="center"/>
    </xf>
    <xf numFmtId="0" fontId="1" fillId="0" borderId="50" xfId="1" applyBorder="1"/>
    <xf numFmtId="0" fontId="1" fillId="0" borderId="42" xfId="1" applyBorder="1"/>
    <xf numFmtId="164" fontId="1" fillId="0" borderId="51" xfId="1" applyNumberFormat="1" applyBorder="1"/>
    <xf numFmtId="0" fontId="1" fillId="0" borderId="52" xfId="1" applyBorder="1"/>
    <xf numFmtId="0" fontId="1" fillId="0" borderId="11" xfId="1" applyBorder="1"/>
    <xf numFmtId="164" fontId="1" fillId="0" borderId="48" xfId="1" applyNumberFormat="1" applyBorder="1"/>
    <xf numFmtId="0" fontId="1" fillId="0" borderId="43" xfId="1" applyBorder="1"/>
    <xf numFmtId="0" fontId="1" fillId="0" borderId="36" xfId="1" applyBorder="1"/>
    <xf numFmtId="164" fontId="1" fillId="0" borderId="53" xfId="1" applyNumberFormat="1" applyBorder="1"/>
    <xf numFmtId="164" fontId="1" fillId="0" borderId="54" xfId="1" applyNumberFormat="1" applyBorder="1"/>
    <xf numFmtId="164" fontId="1" fillId="0" borderId="44" xfId="1" applyNumberFormat="1" applyBorder="1"/>
    <xf numFmtId="165" fontId="1" fillId="0" borderId="0" xfId="1" applyNumberFormat="1" applyAlignment="1">
      <alignment horizontal="right"/>
    </xf>
    <xf numFmtId="0" fontId="1" fillId="4" borderId="38" xfId="1" applyFill="1" applyBorder="1"/>
    <xf numFmtId="0" fontId="1" fillId="4" borderId="2" xfId="1" applyFill="1" applyBorder="1"/>
    <xf numFmtId="0" fontId="1" fillId="4" borderId="39" xfId="1" applyFill="1" applyBorder="1"/>
    <xf numFmtId="0" fontId="1" fillId="0" borderId="23" xfId="1" applyBorder="1"/>
    <xf numFmtId="0" fontId="1" fillId="0" borderId="17" xfId="1" applyBorder="1"/>
    <xf numFmtId="164" fontId="4" fillId="0" borderId="24" xfId="1" applyNumberFormat="1" applyFont="1" applyBorder="1" applyAlignment="1">
      <alignment horizontal="center"/>
    </xf>
    <xf numFmtId="0" fontId="1" fillId="4" borderId="55" xfId="1" applyFill="1" applyBorder="1"/>
    <xf numFmtId="0" fontId="1" fillId="4" borderId="0" xfId="1" applyFill="1" applyBorder="1"/>
    <xf numFmtId="0" fontId="1" fillId="4" borderId="48" xfId="1" applyFill="1" applyBorder="1"/>
    <xf numFmtId="0" fontId="1" fillId="0" borderId="56" xfId="1" applyBorder="1"/>
    <xf numFmtId="2" fontId="4" fillId="4" borderId="0" xfId="1" applyNumberFormat="1" applyFont="1" applyFill="1" applyBorder="1"/>
    <xf numFmtId="0" fontId="1" fillId="0" borderId="57" xfId="1" applyBorder="1"/>
    <xf numFmtId="0" fontId="1" fillId="0" borderId="30" xfId="1" applyBorder="1"/>
    <xf numFmtId="0" fontId="4" fillId="0" borderId="58" xfId="1" applyFont="1" applyBorder="1" applyAlignment="1">
      <alignment horizontal="center"/>
    </xf>
    <xf numFmtId="0" fontId="4" fillId="0" borderId="59" xfId="1" applyFont="1" applyBorder="1" applyAlignment="1">
      <alignment horizontal="center"/>
    </xf>
    <xf numFmtId="0" fontId="25" fillId="4" borderId="60" xfId="1" applyFont="1" applyFill="1" applyBorder="1"/>
    <xf numFmtId="12" fontId="4" fillId="5" borderId="31" xfId="1" applyNumberFormat="1" applyFont="1" applyFill="1" applyBorder="1" applyAlignment="1" applyProtection="1">
      <alignment horizontal="center"/>
      <protection locked="0"/>
    </xf>
    <xf numFmtId="0" fontId="4" fillId="4" borderId="48" xfId="1" applyFont="1" applyFill="1" applyBorder="1"/>
    <xf numFmtId="0" fontId="26" fillId="0" borderId="0" xfId="1" applyFont="1" applyBorder="1"/>
    <xf numFmtId="0" fontId="26" fillId="0" borderId="0" xfId="1" applyFont="1"/>
    <xf numFmtId="0" fontId="2" fillId="4" borderId="50" xfId="1" applyFont="1" applyFill="1" applyBorder="1" applyAlignment="1">
      <alignment horizontal="center"/>
    </xf>
    <xf numFmtId="0" fontId="1" fillId="4" borderId="42" xfId="1" applyFill="1" applyBorder="1"/>
    <xf numFmtId="0" fontId="25" fillId="0" borderId="0" xfId="1" applyFont="1" applyBorder="1"/>
    <xf numFmtId="0" fontId="2" fillId="4" borderId="40" xfId="1" applyFont="1" applyFill="1" applyBorder="1" applyAlignment="1">
      <alignment horizontal="center"/>
    </xf>
    <xf numFmtId="0" fontId="1" fillId="4" borderId="17" xfId="1" applyFill="1" applyBorder="1"/>
    <xf numFmtId="0" fontId="1" fillId="4" borderId="41" xfId="1" applyFill="1" applyBorder="1"/>
    <xf numFmtId="0" fontId="4" fillId="4" borderId="61" xfId="1" applyFont="1" applyFill="1" applyBorder="1" applyAlignment="1" applyProtection="1">
      <alignment horizontal="center"/>
      <protection locked="0"/>
    </xf>
    <xf numFmtId="0" fontId="4" fillId="5" borderId="56" xfId="1" applyFont="1" applyFill="1" applyBorder="1" applyAlignment="1" applyProtection="1">
      <alignment horizontal="right"/>
      <protection locked="0"/>
    </xf>
    <xf numFmtId="0" fontId="1" fillId="4" borderId="46" xfId="1" applyFill="1" applyBorder="1"/>
    <xf numFmtId="0" fontId="4" fillId="4" borderId="47" xfId="1" applyFont="1" applyFill="1" applyBorder="1"/>
    <xf numFmtId="164" fontId="4" fillId="0" borderId="44" xfId="1" applyNumberFormat="1" applyFont="1" applyBorder="1"/>
    <xf numFmtId="0" fontId="4" fillId="0" borderId="57" xfId="1" applyFont="1" applyBorder="1"/>
    <xf numFmtId="0" fontId="4" fillId="0" borderId="62" xfId="1" applyFont="1" applyBorder="1" applyProtection="1">
      <protection locked="0"/>
    </xf>
    <xf numFmtId="0" fontId="4" fillId="4" borderId="63" xfId="1" applyFont="1" applyFill="1" applyBorder="1"/>
    <xf numFmtId="0" fontId="4" fillId="5" borderId="64" xfId="1" applyFont="1" applyFill="1" applyBorder="1" applyProtection="1">
      <protection locked="0"/>
    </xf>
    <xf numFmtId="0" fontId="1" fillId="0" borderId="40" xfId="1" applyBorder="1"/>
    <xf numFmtId="0" fontId="1" fillId="0" borderId="24" xfId="1" applyBorder="1"/>
    <xf numFmtId="164" fontId="1" fillId="0" borderId="41" xfId="1" applyNumberFormat="1" applyBorder="1"/>
    <xf numFmtId="0" fontId="1" fillId="4" borderId="45" xfId="1" applyFill="1" applyBorder="1"/>
    <xf numFmtId="0" fontId="1" fillId="0" borderId="45" xfId="1" applyBorder="1"/>
    <xf numFmtId="0" fontId="4" fillId="0" borderId="58" xfId="1" applyFont="1" applyBorder="1" applyAlignment="1">
      <alignment horizontal="right"/>
    </xf>
    <xf numFmtId="0" fontId="4" fillId="0" borderId="62" xfId="1" applyFont="1" applyBorder="1" applyAlignment="1">
      <alignment horizontal="center"/>
    </xf>
    <xf numFmtId="0" fontId="27" fillId="0" borderId="0" xfId="1" applyFont="1"/>
    <xf numFmtId="2" fontId="1" fillId="0" borderId="2" xfId="1" applyNumberFormat="1" applyBorder="1"/>
    <xf numFmtId="2" fontId="1" fillId="0" borderId="0" xfId="1" applyNumberFormat="1" applyAlignment="1">
      <alignment horizontal="left"/>
    </xf>
    <xf numFmtId="0" fontId="1" fillId="0" borderId="0" xfId="1" applyAlignment="1">
      <alignment horizontal="left"/>
    </xf>
    <xf numFmtId="2" fontId="1" fillId="0" borderId="51" xfId="1" applyNumberFormat="1" applyBorder="1"/>
    <xf numFmtId="2" fontId="1" fillId="0" borderId="48" xfId="1" applyNumberFormat="1" applyBorder="1"/>
    <xf numFmtId="165" fontId="1" fillId="0" borderId="44" xfId="1" applyNumberFormat="1" applyBorder="1"/>
    <xf numFmtId="2" fontId="4" fillId="0" borderId="24" xfId="1" applyNumberFormat="1" applyFont="1" applyBorder="1" applyAlignment="1">
      <alignment horizontal="center"/>
    </xf>
    <xf numFmtId="12" fontId="5" fillId="5" borderId="31" xfId="1" applyNumberFormat="1" applyFont="1" applyFill="1" applyBorder="1" applyAlignment="1" applyProtection="1">
      <alignment horizontal="center"/>
      <protection locked="0"/>
    </xf>
    <xf numFmtId="0" fontId="5" fillId="5" borderId="64" xfId="1" applyFont="1" applyFill="1" applyBorder="1" applyProtection="1">
      <protection locked="0"/>
    </xf>
    <xf numFmtId="2" fontId="1" fillId="0" borderId="41" xfId="1" applyNumberFormat="1" applyBorder="1"/>
    <xf numFmtId="0" fontId="28" fillId="0" borderId="0" xfId="1" applyFont="1"/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285750</xdr:colOff>
      <xdr:row>28</xdr:row>
      <xdr:rowOff>9525</xdr:rowOff>
    </xdr:from>
    <xdr:to>
      <xdr:col>6</xdr:col>
      <xdr:colOff>314325</xdr:colOff>
      <xdr:row>30</xdr:row>
      <xdr:rowOff>0</xdr:rowOff>
    </xdr:to>
    <xdr:sp macro="" textlink="">
      <xdr:nvSpPr>
        <xdr:cNvPr id="2" name="Line 1"/>
        <xdr:cNvSpPr>
          <a:spLocks noChangeShapeType="1"/>
        </xdr:cNvSpPr>
      </xdr:nvSpPr>
      <xdr:spPr bwMode="auto">
        <a:xfrm flipH="1">
          <a:off x="3333750" y="4543425"/>
          <a:ext cx="638175" cy="314325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</xdr:col>
      <xdr:colOff>285750</xdr:colOff>
      <xdr:row>36</xdr:row>
      <xdr:rowOff>95250</xdr:rowOff>
    </xdr:from>
    <xdr:to>
      <xdr:col>7</xdr:col>
      <xdr:colOff>171450</xdr:colOff>
      <xdr:row>36</xdr:row>
      <xdr:rowOff>95250</xdr:rowOff>
    </xdr:to>
    <xdr:sp macro="" textlink="">
      <xdr:nvSpPr>
        <xdr:cNvPr id="3" name="Line 6"/>
        <xdr:cNvSpPr>
          <a:spLocks noChangeShapeType="1"/>
        </xdr:cNvSpPr>
      </xdr:nvSpPr>
      <xdr:spPr bwMode="auto">
        <a:xfrm flipH="1">
          <a:off x="3943350" y="5924550"/>
          <a:ext cx="495300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</xdr:col>
      <xdr:colOff>304800</xdr:colOff>
      <xdr:row>36</xdr:row>
      <xdr:rowOff>9525</xdr:rowOff>
    </xdr:from>
    <xdr:to>
      <xdr:col>6</xdr:col>
      <xdr:colOff>304800</xdr:colOff>
      <xdr:row>36</xdr:row>
      <xdr:rowOff>95250</xdr:rowOff>
    </xdr:to>
    <xdr:sp macro="" textlink="">
      <xdr:nvSpPr>
        <xdr:cNvPr id="4" name="Line 7"/>
        <xdr:cNvSpPr>
          <a:spLocks noChangeShapeType="1"/>
        </xdr:cNvSpPr>
      </xdr:nvSpPr>
      <xdr:spPr bwMode="auto">
        <a:xfrm>
          <a:off x="3962400" y="5838825"/>
          <a:ext cx="0" cy="85725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</xdr:col>
      <xdr:colOff>161925</xdr:colOff>
      <xdr:row>36</xdr:row>
      <xdr:rowOff>38100</xdr:rowOff>
    </xdr:from>
    <xdr:to>
      <xdr:col>7</xdr:col>
      <xdr:colOff>161925</xdr:colOff>
      <xdr:row>36</xdr:row>
      <xdr:rowOff>161925</xdr:rowOff>
    </xdr:to>
    <xdr:sp macro="" textlink="">
      <xdr:nvSpPr>
        <xdr:cNvPr id="5" name="Line 8"/>
        <xdr:cNvSpPr>
          <a:spLocks noChangeShapeType="1"/>
        </xdr:cNvSpPr>
      </xdr:nvSpPr>
      <xdr:spPr bwMode="auto">
        <a:xfrm>
          <a:off x="4429125" y="5867400"/>
          <a:ext cx="0" cy="123825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</xdr:col>
      <xdr:colOff>200025</xdr:colOff>
      <xdr:row>36</xdr:row>
      <xdr:rowOff>38100</xdr:rowOff>
    </xdr:from>
    <xdr:to>
      <xdr:col>7</xdr:col>
      <xdr:colOff>200025</xdr:colOff>
      <xdr:row>36</xdr:row>
      <xdr:rowOff>161925</xdr:rowOff>
    </xdr:to>
    <xdr:sp macro="" textlink="">
      <xdr:nvSpPr>
        <xdr:cNvPr id="6" name="Line 9"/>
        <xdr:cNvSpPr>
          <a:spLocks noChangeShapeType="1"/>
        </xdr:cNvSpPr>
      </xdr:nvSpPr>
      <xdr:spPr bwMode="auto">
        <a:xfrm>
          <a:off x="4467225" y="5867400"/>
          <a:ext cx="0" cy="123825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</xdr:col>
      <xdr:colOff>95250</xdr:colOff>
      <xdr:row>36</xdr:row>
      <xdr:rowOff>47625</xdr:rowOff>
    </xdr:from>
    <xdr:to>
      <xdr:col>7</xdr:col>
      <xdr:colOff>266700</xdr:colOff>
      <xdr:row>36</xdr:row>
      <xdr:rowOff>152400</xdr:rowOff>
    </xdr:to>
    <xdr:sp macro="" textlink="">
      <xdr:nvSpPr>
        <xdr:cNvPr id="7" name="Line 10"/>
        <xdr:cNvSpPr>
          <a:spLocks noChangeShapeType="1"/>
        </xdr:cNvSpPr>
      </xdr:nvSpPr>
      <xdr:spPr bwMode="auto">
        <a:xfrm flipH="1">
          <a:off x="4362450" y="5876925"/>
          <a:ext cx="171450" cy="104775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</xdr:col>
      <xdr:colOff>209550</xdr:colOff>
      <xdr:row>36</xdr:row>
      <xdr:rowOff>95250</xdr:rowOff>
    </xdr:from>
    <xdr:to>
      <xdr:col>7</xdr:col>
      <xdr:colOff>304800</xdr:colOff>
      <xdr:row>37</xdr:row>
      <xdr:rowOff>38100</xdr:rowOff>
    </xdr:to>
    <xdr:sp macro="" textlink="">
      <xdr:nvSpPr>
        <xdr:cNvPr id="8" name="Line 11"/>
        <xdr:cNvSpPr>
          <a:spLocks noChangeShapeType="1"/>
        </xdr:cNvSpPr>
      </xdr:nvSpPr>
      <xdr:spPr bwMode="auto">
        <a:xfrm>
          <a:off x="4476750" y="5924550"/>
          <a:ext cx="95250" cy="104775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</xdr:col>
      <xdr:colOff>285750</xdr:colOff>
      <xdr:row>36</xdr:row>
      <xdr:rowOff>142875</xdr:rowOff>
    </xdr:from>
    <xdr:to>
      <xdr:col>7</xdr:col>
      <xdr:colOff>295275</xdr:colOff>
      <xdr:row>37</xdr:row>
      <xdr:rowOff>19050</xdr:rowOff>
    </xdr:to>
    <xdr:sp macro="" textlink="">
      <xdr:nvSpPr>
        <xdr:cNvPr id="9" name="Oval 12"/>
        <xdr:cNvSpPr>
          <a:spLocks noChangeArrowheads="1"/>
        </xdr:cNvSpPr>
      </xdr:nvSpPr>
      <xdr:spPr bwMode="auto">
        <a:xfrm>
          <a:off x="4552950" y="5972175"/>
          <a:ext cx="9525" cy="38100"/>
        </a:xfrm>
        <a:prstGeom prst="ellipse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</xdr:spPr>
    </xdr:sp>
    <xdr:clientData/>
  </xdr:twoCellAnchor>
  <xdr:twoCellAnchor>
    <xdr:from>
      <xdr:col>7</xdr:col>
      <xdr:colOff>257175</xdr:colOff>
      <xdr:row>36</xdr:row>
      <xdr:rowOff>123825</xdr:rowOff>
    </xdr:from>
    <xdr:to>
      <xdr:col>7</xdr:col>
      <xdr:colOff>342900</xdr:colOff>
      <xdr:row>37</xdr:row>
      <xdr:rowOff>47625</xdr:rowOff>
    </xdr:to>
    <xdr:sp macro="" textlink="">
      <xdr:nvSpPr>
        <xdr:cNvPr id="10" name="Oval 13"/>
        <xdr:cNvSpPr>
          <a:spLocks noChangeArrowheads="1"/>
        </xdr:cNvSpPr>
      </xdr:nvSpPr>
      <xdr:spPr bwMode="auto">
        <a:xfrm>
          <a:off x="4524375" y="5953125"/>
          <a:ext cx="85725" cy="85725"/>
        </a:xfrm>
        <a:prstGeom prst="ellipse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</xdr:spPr>
    </xdr:sp>
    <xdr:clientData/>
  </xdr:twoCellAnchor>
  <xdr:twoCellAnchor>
    <xdr:from>
      <xdr:col>7</xdr:col>
      <xdr:colOff>209550</xdr:colOff>
      <xdr:row>36</xdr:row>
      <xdr:rowOff>104775</xdr:rowOff>
    </xdr:from>
    <xdr:to>
      <xdr:col>7</xdr:col>
      <xdr:colOff>304800</xdr:colOff>
      <xdr:row>37</xdr:row>
      <xdr:rowOff>0</xdr:rowOff>
    </xdr:to>
    <xdr:sp macro="" textlink="">
      <xdr:nvSpPr>
        <xdr:cNvPr id="11" name="Line 14"/>
        <xdr:cNvSpPr>
          <a:spLocks noChangeShapeType="1"/>
        </xdr:cNvSpPr>
      </xdr:nvSpPr>
      <xdr:spPr bwMode="auto">
        <a:xfrm>
          <a:off x="4476750" y="5934075"/>
          <a:ext cx="95250" cy="5715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</xdr:col>
      <xdr:colOff>219075</xdr:colOff>
      <xdr:row>36</xdr:row>
      <xdr:rowOff>114300</xdr:rowOff>
    </xdr:from>
    <xdr:to>
      <xdr:col>7</xdr:col>
      <xdr:colOff>295275</xdr:colOff>
      <xdr:row>37</xdr:row>
      <xdr:rowOff>9525</xdr:rowOff>
    </xdr:to>
    <xdr:sp macro="" textlink="">
      <xdr:nvSpPr>
        <xdr:cNvPr id="12" name="Line 15"/>
        <xdr:cNvSpPr>
          <a:spLocks noChangeShapeType="1"/>
        </xdr:cNvSpPr>
      </xdr:nvSpPr>
      <xdr:spPr bwMode="auto">
        <a:xfrm flipH="1" flipV="1">
          <a:off x="4486275" y="5943600"/>
          <a:ext cx="76200" cy="5715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</xdr:col>
      <xdr:colOff>295275</xdr:colOff>
      <xdr:row>36</xdr:row>
      <xdr:rowOff>0</xdr:rowOff>
    </xdr:from>
    <xdr:to>
      <xdr:col>7</xdr:col>
      <xdr:colOff>304800</xdr:colOff>
      <xdr:row>36</xdr:row>
      <xdr:rowOff>123825</xdr:rowOff>
    </xdr:to>
    <xdr:sp macro="" textlink="">
      <xdr:nvSpPr>
        <xdr:cNvPr id="13" name="Line 16"/>
        <xdr:cNvSpPr>
          <a:spLocks noChangeShapeType="1"/>
        </xdr:cNvSpPr>
      </xdr:nvSpPr>
      <xdr:spPr bwMode="auto">
        <a:xfrm flipH="1">
          <a:off x="4562475" y="5829300"/>
          <a:ext cx="9525" cy="123825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</xdr:col>
      <xdr:colOff>295275</xdr:colOff>
      <xdr:row>37</xdr:row>
      <xdr:rowOff>57150</xdr:rowOff>
    </xdr:from>
    <xdr:to>
      <xdr:col>8</xdr:col>
      <xdr:colOff>152400</xdr:colOff>
      <xdr:row>38</xdr:row>
      <xdr:rowOff>28575</xdr:rowOff>
    </xdr:to>
    <xdr:sp macro="" textlink="">
      <xdr:nvSpPr>
        <xdr:cNvPr id="14" name="Line 17"/>
        <xdr:cNvSpPr>
          <a:spLocks noChangeShapeType="1"/>
        </xdr:cNvSpPr>
      </xdr:nvSpPr>
      <xdr:spPr bwMode="auto">
        <a:xfrm>
          <a:off x="4562475" y="6048375"/>
          <a:ext cx="466725" cy="13335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</xdr:col>
      <xdr:colOff>342900</xdr:colOff>
      <xdr:row>36</xdr:row>
      <xdr:rowOff>152400</xdr:rowOff>
    </xdr:from>
    <xdr:to>
      <xdr:col>8</xdr:col>
      <xdr:colOff>228600</xdr:colOff>
      <xdr:row>38</xdr:row>
      <xdr:rowOff>0</xdr:rowOff>
    </xdr:to>
    <xdr:sp macro="" textlink="">
      <xdr:nvSpPr>
        <xdr:cNvPr id="15" name="Line 18"/>
        <xdr:cNvSpPr>
          <a:spLocks noChangeShapeType="1"/>
        </xdr:cNvSpPr>
      </xdr:nvSpPr>
      <xdr:spPr bwMode="auto">
        <a:xfrm>
          <a:off x="4610100" y="5981700"/>
          <a:ext cx="495300" cy="17145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</xdr:col>
      <xdr:colOff>304800</xdr:colOff>
      <xdr:row>36</xdr:row>
      <xdr:rowOff>114300</xdr:rowOff>
    </xdr:from>
    <xdr:to>
      <xdr:col>7</xdr:col>
      <xdr:colOff>161925</xdr:colOff>
      <xdr:row>36</xdr:row>
      <xdr:rowOff>114300</xdr:rowOff>
    </xdr:to>
    <xdr:sp macro="" textlink="">
      <xdr:nvSpPr>
        <xdr:cNvPr id="16" name="Line 19"/>
        <xdr:cNvSpPr>
          <a:spLocks noChangeShapeType="1"/>
        </xdr:cNvSpPr>
      </xdr:nvSpPr>
      <xdr:spPr bwMode="auto">
        <a:xfrm>
          <a:off x="3962400" y="5943600"/>
          <a:ext cx="466725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</xdr:col>
      <xdr:colOff>295275</xdr:colOff>
      <xdr:row>36</xdr:row>
      <xdr:rowOff>19050</xdr:rowOff>
    </xdr:from>
    <xdr:to>
      <xdr:col>7</xdr:col>
      <xdr:colOff>295275</xdr:colOff>
      <xdr:row>36</xdr:row>
      <xdr:rowOff>114300</xdr:rowOff>
    </xdr:to>
    <xdr:sp macro="" textlink="">
      <xdr:nvSpPr>
        <xdr:cNvPr id="17" name="Line 20"/>
        <xdr:cNvSpPr>
          <a:spLocks noChangeShapeType="1"/>
        </xdr:cNvSpPr>
      </xdr:nvSpPr>
      <xdr:spPr bwMode="auto">
        <a:xfrm>
          <a:off x="4562475" y="5848350"/>
          <a:ext cx="0" cy="9525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</xdr:col>
      <xdr:colOff>266700</xdr:colOff>
      <xdr:row>35</xdr:row>
      <xdr:rowOff>104775</xdr:rowOff>
    </xdr:from>
    <xdr:to>
      <xdr:col>7</xdr:col>
      <xdr:colOff>361950</xdr:colOff>
      <xdr:row>36</xdr:row>
      <xdr:rowOff>47625</xdr:rowOff>
    </xdr:to>
    <xdr:sp macro="" textlink="">
      <xdr:nvSpPr>
        <xdr:cNvPr id="18" name="Oval 21"/>
        <xdr:cNvSpPr>
          <a:spLocks noChangeArrowheads="1"/>
        </xdr:cNvSpPr>
      </xdr:nvSpPr>
      <xdr:spPr bwMode="auto">
        <a:xfrm>
          <a:off x="4533900" y="5772150"/>
          <a:ext cx="95250" cy="104775"/>
        </a:xfrm>
        <a:prstGeom prst="ellipse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</xdr:spPr>
    </xdr:sp>
    <xdr:clientData/>
  </xdr:twoCellAnchor>
  <xdr:twoCellAnchor>
    <xdr:from>
      <xdr:col>6</xdr:col>
      <xdr:colOff>295275</xdr:colOff>
      <xdr:row>36</xdr:row>
      <xdr:rowOff>0</xdr:rowOff>
    </xdr:from>
    <xdr:to>
      <xdr:col>6</xdr:col>
      <xdr:colOff>295275</xdr:colOff>
      <xdr:row>36</xdr:row>
      <xdr:rowOff>104775</xdr:rowOff>
    </xdr:to>
    <xdr:sp macro="" textlink="">
      <xdr:nvSpPr>
        <xdr:cNvPr id="19" name="Line 22"/>
        <xdr:cNvSpPr>
          <a:spLocks noChangeShapeType="1"/>
        </xdr:cNvSpPr>
      </xdr:nvSpPr>
      <xdr:spPr bwMode="auto">
        <a:xfrm>
          <a:off x="3952875" y="5829300"/>
          <a:ext cx="0" cy="104775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</xdr:col>
      <xdr:colOff>295275</xdr:colOff>
      <xdr:row>36</xdr:row>
      <xdr:rowOff>104775</xdr:rowOff>
    </xdr:from>
    <xdr:to>
      <xdr:col>7</xdr:col>
      <xdr:colOff>161925</xdr:colOff>
      <xdr:row>36</xdr:row>
      <xdr:rowOff>104775</xdr:rowOff>
    </xdr:to>
    <xdr:sp macro="" textlink="">
      <xdr:nvSpPr>
        <xdr:cNvPr id="20" name="Line 23"/>
        <xdr:cNvSpPr>
          <a:spLocks noChangeShapeType="1"/>
        </xdr:cNvSpPr>
      </xdr:nvSpPr>
      <xdr:spPr bwMode="auto">
        <a:xfrm>
          <a:off x="3952875" y="5934075"/>
          <a:ext cx="476250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</xdr:col>
      <xdr:colOff>276225</xdr:colOff>
      <xdr:row>36</xdr:row>
      <xdr:rowOff>57150</xdr:rowOff>
    </xdr:from>
    <xdr:to>
      <xdr:col>6</xdr:col>
      <xdr:colOff>371475</xdr:colOff>
      <xdr:row>37</xdr:row>
      <xdr:rowOff>85725</xdr:rowOff>
    </xdr:to>
    <xdr:sp macro="" textlink="">
      <xdr:nvSpPr>
        <xdr:cNvPr id="21" name="Line 24"/>
        <xdr:cNvSpPr>
          <a:spLocks noChangeShapeType="1"/>
        </xdr:cNvSpPr>
      </xdr:nvSpPr>
      <xdr:spPr bwMode="auto">
        <a:xfrm flipH="1">
          <a:off x="3933825" y="5886450"/>
          <a:ext cx="95250" cy="19050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</xdr:col>
      <xdr:colOff>371475</xdr:colOff>
      <xdr:row>36</xdr:row>
      <xdr:rowOff>161925</xdr:rowOff>
    </xdr:from>
    <xdr:to>
      <xdr:col>6</xdr:col>
      <xdr:colOff>504825</xdr:colOff>
      <xdr:row>38</xdr:row>
      <xdr:rowOff>104775</xdr:rowOff>
    </xdr:to>
    <xdr:sp macro="" textlink="">
      <xdr:nvSpPr>
        <xdr:cNvPr id="22" name="Line 25"/>
        <xdr:cNvSpPr>
          <a:spLocks noChangeShapeType="1"/>
        </xdr:cNvSpPr>
      </xdr:nvSpPr>
      <xdr:spPr bwMode="auto">
        <a:xfrm flipH="1">
          <a:off x="4029075" y="5991225"/>
          <a:ext cx="133350" cy="26670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</xdr:col>
      <xdr:colOff>552450</xdr:colOff>
      <xdr:row>37</xdr:row>
      <xdr:rowOff>28575</xdr:rowOff>
    </xdr:from>
    <xdr:to>
      <xdr:col>7</xdr:col>
      <xdr:colOff>161925</xdr:colOff>
      <xdr:row>39</xdr:row>
      <xdr:rowOff>9525</xdr:rowOff>
    </xdr:to>
    <xdr:sp macro="" textlink="">
      <xdr:nvSpPr>
        <xdr:cNvPr id="23" name="Line 26"/>
        <xdr:cNvSpPr>
          <a:spLocks noChangeShapeType="1"/>
        </xdr:cNvSpPr>
      </xdr:nvSpPr>
      <xdr:spPr bwMode="auto">
        <a:xfrm flipV="1">
          <a:off x="4210050" y="6019800"/>
          <a:ext cx="219075" cy="30480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</xdr:col>
      <xdr:colOff>266700</xdr:colOff>
      <xdr:row>36</xdr:row>
      <xdr:rowOff>76200</xdr:rowOff>
    </xdr:from>
    <xdr:to>
      <xdr:col>6</xdr:col>
      <xdr:colOff>190500</xdr:colOff>
      <xdr:row>36</xdr:row>
      <xdr:rowOff>85725</xdr:rowOff>
    </xdr:to>
    <xdr:sp macro="" textlink="">
      <xdr:nvSpPr>
        <xdr:cNvPr id="24" name="Line 27"/>
        <xdr:cNvSpPr>
          <a:spLocks noChangeShapeType="1"/>
        </xdr:cNvSpPr>
      </xdr:nvSpPr>
      <xdr:spPr bwMode="auto">
        <a:xfrm flipV="1">
          <a:off x="3314700" y="5905500"/>
          <a:ext cx="533400" cy="9525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</xdr:col>
      <xdr:colOff>409575</xdr:colOff>
      <xdr:row>26</xdr:row>
      <xdr:rowOff>104775</xdr:rowOff>
    </xdr:from>
    <xdr:to>
      <xdr:col>9</xdr:col>
      <xdr:colOff>600075</xdr:colOff>
      <xdr:row>26</xdr:row>
      <xdr:rowOff>114300</xdr:rowOff>
    </xdr:to>
    <xdr:sp macro="" textlink="">
      <xdr:nvSpPr>
        <xdr:cNvPr id="25" name="Line 28"/>
        <xdr:cNvSpPr>
          <a:spLocks noChangeShapeType="1"/>
        </xdr:cNvSpPr>
      </xdr:nvSpPr>
      <xdr:spPr bwMode="auto">
        <a:xfrm>
          <a:off x="5895975" y="4314825"/>
          <a:ext cx="190500" cy="9525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</xdr:col>
      <xdr:colOff>66675</xdr:colOff>
      <xdr:row>26</xdr:row>
      <xdr:rowOff>76200</xdr:rowOff>
    </xdr:from>
    <xdr:to>
      <xdr:col>6</xdr:col>
      <xdr:colOff>266700</xdr:colOff>
      <xdr:row>26</xdr:row>
      <xdr:rowOff>76200</xdr:rowOff>
    </xdr:to>
    <xdr:sp macro="" textlink="">
      <xdr:nvSpPr>
        <xdr:cNvPr id="26" name="Line 29"/>
        <xdr:cNvSpPr>
          <a:spLocks noChangeShapeType="1"/>
        </xdr:cNvSpPr>
      </xdr:nvSpPr>
      <xdr:spPr bwMode="auto">
        <a:xfrm flipH="1">
          <a:off x="3724275" y="4286250"/>
          <a:ext cx="200025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</xdr:col>
      <xdr:colOff>333375</xdr:colOff>
      <xdr:row>28</xdr:row>
      <xdr:rowOff>9525</xdr:rowOff>
    </xdr:from>
    <xdr:to>
      <xdr:col>7</xdr:col>
      <xdr:colOff>361950</xdr:colOff>
      <xdr:row>30</xdr:row>
      <xdr:rowOff>0</xdr:rowOff>
    </xdr:to>
    <xdr:sp macro="" textlink="">
      <xdr:nvSpPr>
        <xdr:cNvPr id="27" name="Line 30"/>
        <xdr:cNvSpPr>
          <a:spLocks noChangeShapeType="1"/>
        </xdr:cNvSpPr>
      </xdr:nvSpPr>
      <xdr:spPr bwMode="auto">
        <a:xfrm flipH="1">
          <a:off x="3990975" y="4543425"/>
          <a:ext cx="638175" cy="314325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</xdr:col>
      <xdr:colOff>276225</xdr:colOff>
      <xdr:row>28</xdr:row>
      <xdr:rowOff>19050</xdr:rowOff>
    </xdr:from>
    <xdr:to>
      <xdr:col>8</xdr:col>
      <xdr:colOff>304800</xdr:colOff>
      <xdr:row>30</xdr:row>
      <xdr:rowOff>9525</xdr:rowOff>
    </xdr:to>
    <xdr:sp macro="" textlink="">
      <xdr:nvSpPr>
        <xdr:cNvPr id="28" name="Line 31"/>
        <xdr:cNvSpPr>
          <a:spLocks noChangeShapeType="1"/>
        </xdr:cNvSpPr>
      </xdr:nvSpPr>
      <xdr:spPr bwMode="auto">
        <a:xfrm flipH="1">
          <a:off x="4543425" y="4552950"/>
          <a:ext cx="638175" cy="314325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</xdr:col>
      <xdr:colOff>371475</xdr:colOff>
      <xdr:row>28</xdr:row>
      <xdr:rowOff>9525</xdr:rowOff>
    </xdr:from>
    <xdr:to>
      <xdr:col>9</xdr:col>
      <xdr:colOff>400050</xdr:colOff>
      <xdr:row>30</xdr:row>
      <xdr:rowOff>0</xdr:rowOff>
    </xdr:to>
    <xdr:sp macro="" textlink="">
      <xdr:nvSpPr>
        <xdr:cNvPr id="29" name="Line 32"/>
        <xdr:cNvSpPr>
          <a:spLocks noChangeShapeType="1"/>
        </xdr:cNvSpPr>
      </xdr:nvSpPr>
      <xdr:spPr bwMode="auto">
        <a:xfrm flipH="1">
          <a:off x="5248275" y="4543425"/>
          <a:ext cx="638175" cy="314325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</xdr:col>
      <xdr:colOff>304800</xdr:colOff>
      <xdr:row>28</xdr:row>
      <xdr:rowOff>28575</xdr:rowOff>
    </xdr:from>
    <xdr:to>
      <xdr:col>10</xdr:col>
      <xdr:colOff>333375</xdr:colOff>
      <xdr:row>30</xdr:row>
      <xdr:rowOff>19050</xdr:rowOff>
    </xdr:to>
    <xdr:sp macro="" textlink="">
      <xdr:nvSpPr>
        <xdr:cNvPr id="30" name="Line 33"/>
        <xdr:cNvSpPr>
          <a:spLocks noChangeShapeType="1"/>
        </xdr:cNvSpPr>
      </xdr:nvSpPr>
      <xdr:spPr bwMode="auto">
        <a:xfrm flipH="1">
          <a:off x="5791200" y="4562475"/>
          <a:ext cx="638175" cy="314325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</xdr:col>
      <xdr:colOff>361950</xdr:colOff>
      <xdr:row>13</xdr:row>
      <xdr:rowOff>85725</xdr:rowOff>
    </xdr:from>
    <xdr:to>
      <xdr:col>7</xdr:col>
      <xdr:colOff>219075</xdr:colOff>
      <xdr:row>21</xdr:row>
      <xdr:rowOff>152400</xdr:rowOff>
    </xdr:to>
    <xdr:sp macro="" textlink="">
      <xdr:nvSpPr>
        <xdr:cNvPr id="31" name="Line 37"/>
        <xdr:cNvSpPr>
          <a:spLocks noChangeShapeType="1"/>
        </xdr:cNvSpPr>
      </xdr:nvSpPr>
      <xdr:spPr bwMode="auto">
        <a:xfrm flipV="1">
          <a:off x="4019550" y="2190750"/>
          <a:ext cx="466725" cy="1362075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285750</xdr:colOff>
      <xdr:row>28</xdr:row>
      <xdr:rowOff>9525</xdr:rowOff>
    </xdr:from>
    <xdr:to>
      <xdr:col>6</xdr:col>
      <xdr:colOff>314325</xdr:colOff>
      <xdr:row>30</xdr:row>
      <xdr:rowOff>0</xdr:rowOff>
    </xdr:to>
    <xdr:sp macro="" textlink="">
      <xdr:nvSpPr>
        <xdr:cNvPr id="2" name="Line 1"/>
        <xdr:cNvSpPr>
          <a:spLocks noChangeShapeType="1"/>
        </xdr:cNvSpPr>
      </xdr:nvSpPr>
      <xdr:spPr bwMode="auto">
        <a:xfrm flipH="1">
          <a:off x="3333750" y="4543425"/>
          <a:ext cx="638175" cy="314325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</xdr:col>
      <xdr:colOff>266700</xdr:colOff>
      <xdr:row>36</xdr:row>
      <xdr:rowOff>9525</xdr:rowOff>
    </xdr:from>
    <xdr:to>
      <xdr:col>7</xdr:col>
      <xdr:colOff>361950</xdr:colOff>
      <xdr:row>36</xdr:row>
      <xdr:rowOff>123825</xdr:rowOff>
    </xdr:to>
    <xdr:sp macro="" textlink="">
      <xdr:nvSpPr>
        <xdr:cNvPr id="3" name="Oval 21"/>
        <xdr:cNvSpPr>
          <a:spLocks noChangeArrowheads="1"/>
        </xdr:cNvSpPr>
      </xdr:nvSpPr>
      <xdr:spPr bwMode="auto">
        <a:xfrm>
          <a:off x="4533900" y="5838825"/>
          <a:ext cx="95250" cy="114300"/>
        </a:xfrm>
        <a:prstGeom prst="ellipse">
          <a:avLst/>
        </a:prstGeom>
        <a:solidFill>
          <a:srgbClr xmlns:mc="http://schemas.openxmlformats.org/markup-compatibility/2006" xmlns:a14="http://schemas.microsoft.com/office/drawing/2010/main" val="000000" mc:Ignorable="a14" a14:legacySpreadsheetColorIndex="8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</xdr:spPr>
    </xdr:sp>
    <xdr:clientData/>
  </xdr:twoCellAnchor>
  <xdr:twoCellAnchor>
    <xdr:from>
      <xdr:col>9</xdr:col>
      <xdr:colOff>476250</xdr:colOff>
      <xdr:row>26</xdr:row>
      <xdr:rowOff>95250</xdr:rowOff>
    </xdr:from>
    <xdr:to>
      <xdr:col>11</xdr:col>
      <xdr:colOff>466725</xdr:colOff>
      <xdr:row>26</xdr:row>
      <xdr:rowOff>95250</xdr:rowOff>
    </xdr:to>
    <xdr:sp macro="" textlink="">
      <xdr:nvSpPr>
        <xdr:cNvPr id="4" name="Line 28"/>
        <xdr:cNvSpPr>
          <a:spLocks noChangeShapeType="1"/>
        </xdr:cNvSpPr>
      </xdr:nvSpPr>
      <xdr:spPr bwMode="auto">
        <a:xfrm>
          <a:off x="5962650" y="4305300"/>
          <a:ext cx="1209675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</xdr:col>
      <xdr:colOff>66675</xdr:colOff>
      <xdr:row>26</xdr:row>
      <xdr:rowOff>76200</xdr:rowOff>
    </xdr:from>
    <xdr:to>
      <xdr:col>6</xdr:col>
      <xdr:colOff>266700</xdr:colOff>
      <xdr:row>26</xdr:row>
      <xdr:rowOff>76200</xdr:rowOff>
    </xdr:to>
    <xdr:sp macro="" textlink="">
      <xdr:nvSpPr>
        <xdr:cNvPr id="5" name="Line 29"/>
        <xdr:cNvSpPr>
          <a:spLocks noChangeShapeType="1"/>
        </xdr:cNvSpPr>
      </xdr:nvSpPr>
      <xdr:spPr bwMode="auto">
        <a:xfrm flipH="1">
          <a:off x="3724275" y="4286250"/>
          <a:ext cx="200025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</xdr:col>
      <xdr:colOff>333375</xdr:colOff>
      <xdr:row>28</xdr:row>
      <xdr:rowOff>9525</xdr:rowOff>
    </xdr:from>
    <xdr:to>
      <xdr:col>7</xdr:col>
      <xdr:colOff>361950</xdr:colOff>
      <xdr:row>30</xdr:row>
      <xdr:rowOff>0</xdr:rowOff>
    </xdr:to>
    <xdr:sp macro="" textlink="">
      <xdr:nvSpPr>
        <xdr:cNvPr id="6" name="Line 30"/>
        <xdr:cNvSpPr>
          <a:spLocks noChangeShapeType="1"/>
        </xdr:cNvSpPr>
      </xdr:nvSpPr>
      <xdr:spPr bwMode="auto">
        <a:xfrm flipH="1">
          <a:off x="3990975" y="4543425"/>
          <a:ext cx="638175" cy="314325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</xdr:col>
      <xdr:colOff>276225</xdr:colOff>
      <xdr:row>28</xdr:row>
      <xdr:rowOff>19050</xdr:rowOff>
    </xdr:from>
    <xdr:to>
      <xdr:col>8</xdr:col>
      <xdr:colOff>304800</xdr:colOff>
      <xdr:row>30</xdr:row>
      <xdr:rowOff>9525</xdr:rowOff>
    </xdr:to>
    <xdr:sp macro="" textlink="">
      <xdr:nvSpPr>
        <xdr:cNvPr id="7" name="Line 31"/>
        <xdr:cNvSpPr>
          <a:spLocks noChangeShapeType="1"/>
        </xdr:cNvSpPr>
      </xdr:nvSpPr>
      <xdr:spPr bwMode="auto">
        <a:xfrm flipH="1">
          <a:off x="4543425" y="4552950"/>
          <a:ext cx="638175" cy="314325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</xdr:col>
      <xdr:colOff>371475</xdr:colOff>
      <xdr:row>28</xdr:row>
      <xdr:rowOff>9525</xdr:rowOff>
    </xdr:from>
    <xdr:to>
      <xdr:col>9</xdr:col>
      <xdr:colOff>400050</xdr:colOff>
      <xdr:row>30</xdr:row>
      <xdr:rowOff>0</xdr:rowOff>
    </xdr:to>
    <xdr:sp macro="" textlink="">
      <xdr:nvSpPr>
        <xdr:cNvPr id="8" name="Line 32"/>
        <xdr:cNvSpPr>
          <a:spLocks noChangeShapeType="1"/>
        </xdr:cNvSpPr>
      </xdr:nvSpPr>
      <xdr:spPr bwMode="auto">
        <a:xfrm flipH="1">
          <a:off x="5248275" y="4543425"/>
          <a:ext cx="638175" cy="314325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</xdr:col>
      <xdr:colOff>0</xdr:colOff>
      <xdr:row>28</xdr:row>
      <xdr:rowOff>19050</xdr:rowOff>
    </xdr:from>
    <xdr:to>
      <xdr:col>11</xdr:col>
      <xdr:colOff>28575</xdr:colOff>
      <xdr:row>30</xdr:row>
      <xdr:rowOff>9525</xdr:rowOff>
    </xdr:to>
    <xdr:sp macro="" textlink="">
      <xdr:nvSpPr>
        <xdr:cNvPr id="9" name="Line 33"/>
        <xdr:cNvSpPr>
          <a:spLocks noChangeShapeType="1"/>
        </xdr:cNvSpPr>
      </xdr:nvSpPr>
      <xdr:spPr bwMode="auto">
        <a:xfrm flipH="1">
          <a:off x="6096000" y="4552950"/>
          <a:ext cx="638175" cy="314325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11</xdr:col>
      <xdr:colOff>304800</xdr:colOff>
      <xdr:row>28</xdr:row>
      <xdr:rowOff>0</xdr:rowOff>
    </xdr:from>
    <xdr:to>
      <xdr:col>12</xdr:col>
      <xdr:colOff>333375</xdr:colOff>
      <xdr:row>29</xdr:row>
      <xdr:rowOff>161925</xdr:rowOff>
    </xdr:to>
    <xdr:sp macro="" textlink="">
      <xdr:nvSpPr>
        <xdr:cNvPr id="10" name="Line 35"/>
        <xdr:cNvSpPr>
          <a:spLocks noChangeShapeType="1"/>
        </xdr:cNvSpPr>
      </xdr:nvSpPr>
      <xdr:spPr bwMode="auto">
        <a:xfrm flipH="1">
          <a:off x="7010400" y="4533900"/>
          <a:ext cx="638175" cy="32385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</xdr:col>
      <xdr:colOff>447675</xdr:colOff>
      <xdr:row>20</xdr:row>
      <xdr:rowOff>85725</xdr:rowOff>
    </xdr:from>
    <xdr:to>
      <xdr:col>7</xdr:col>
      <xdr:colOff>390525</xdr:colOff>
      <xdr:row>22</xdr:row>
      <xdr:rowOff>38100</xdr:rowOff>
    </xdr:to>
    <xdr:sp macro="" textlink="">
      <xdr:nvSpPr>
        <xdr:cNvPr id="11" name="Line 37"/>
        <xdr:cNvSpPr>
          <a:spLocks noChangeShapeType="1"/>
        </xdr:cNvSpPr>
      </xdr:nvSpPr>
      <xdr:spPr bwMode="auto">
        <a:xfrm flipV="1">
          <a:off x="4105275" y="3324225"/>
          <a:ext cx="552450" cy="276225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</xdr:col>
      <xdr:colOff>390525</xdr:colOff>
      <xdr:row>36</xdr:row>
      <xdr:rowOff>19050</xdr:rowOff>
    </xdr:from>
    <xdr:to>
      <xdr:col>9</xdr:col>
      <xdr:colOff>590550</xdr:colOff>
      <xdr:row>36</xdr:row>
      <xdr:rowOff>142875</xdr:rowOff>
    </xdr:to>
    <xdr:sp macro="" textlink="">
      <xdr:nvSpPr>
        <xdr:cNvPr id="12" name="Freeform 40"/>
        <xdr:cNvSpPr>
          <a:spLocks/>
        </xdr:cNvSpPr>
      </xdr:nvSpPr>
      <xdr:spPr bwMode="auto">
        <a:xfrm>
          <a:off x="4657725" y="5848350"/>
          <a:ext cx="1419225" cy="123825"/>
        </a:xfrm>
        <a:custGeom>
          <a:avLst/>
          <a:gdLst>
            <a:gd name="T0" fmla="*/ 156 w 156"/>
            <a:gd name="T1" fmla="*/ 0 h 13"/>
            <a:gd name="T2" fmla="*/ 156 w 156"/>
            <a:gd name="T3" fmla="*/ 13 h 13"/>
            <a:gd name="T4" fmla="*/ 0 w 156"/>
            <a:gd name="T5" fmla="*/ 13 h 13"/>
          </a:gdLst>
          <a:ahLst/>
          <a:cxnLst>
            <a:cxn ang="0">
              <a:pos x="T0" y="T1"/>
            </a:cxn>
            <a:cxn ang="0">
              <a:pos x="T2" y="T3"/>
            </a:cxn>
            <a:cxn ang="0">
              <a:pos x="T4" y="T5"/>
            </a:cxn>
          </a:cxnLst>
          <a:rect l="0" t="0" r="r" b="b"/>
          <a:pathLst>
            <a:path w="156" h="13">
              <a:moveTo>
                <a:pt x="156" y="0"/>
              </a:moveTo>
              <a:lnTo>
                <a:pt x="156" y="13"/>
              </a:lnTo>
              <a:lnTo>
                <a:pt x="0" y="13"/>
              </a:lnTo>
            </a:path>
          </a:pathLst>
        </a:custGeom>
        <a:noFill/>
        <a:ln w="15875" cap="flat" cmpd="sng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</a:extLst>
      </xdr:spPr>
    </xdr:sp>
    <xdr:clientData/>
  </xdr:twoCellAnchor>
  <xdr:twoCellAnchor>
    <xdr:from>
      <xdr:col>5</xdr:col>
      <xdr:colOff>19050</xdr:colOff>
      <xdr:row>36</xdr:row>
      <xdr:rowOff>9525</xdr:rowOff>
    </xdr:from>
    <xdr:to>
      <xdr:col>7</xdr:col>
      <xdr:colOff>219075</xdr:colOff>
      <xdr:row>36</xdr:row>
      <xdr:rowOff>142875</xdr:rowOff>
    </xdr:to>
    <xdr:sp macro="" textlink="">
      <xdr:nvSpPr>
        <xdr:cNvPr id="13" name="Freeform 41"/>
        <xdr:cNvSpPr>
          <a:spLocks/>
        </xdr:cNvSpPr>
      </xdr:nvSpPr>
      <xdr:spPr bwMode="auto">
        <a:xfrm>
          <a:off x="3067050" y="5838825"/>
          <a:ext cx="1419225" cy="133350"/>
        </a:xfrm>
        <a:custGeom>
          <a:avLst/>
          <a:gdLst>
            <a:gd name="T0" fmla="*/ 0 w 149"/>
            <a:gd name="T1" fmla="*/ 0 h 14"/>
            <a:gd name="T2" fmla="*/ 0 w 149"/>
            <a:gd name="T3" fmla="*/ 14 h 14"/>
            <a:gd name="T4" fmla="*/ 149 w 149"/>
            <a:gd name="T5" fmla="*/ 14 h 14"/>
          </a:gdLst>
          <a:ahLst/>
          <a:cxnLst>
            <a:cxn ang="0">
              <a:pos x="T0" y="T1"/>
            </a:cxn>
            <a:cxn ang="0">
              <a:pos x="T2" y="T3"/>
            </a:cxn>
            <a:cxn ang="0">
              <a:pos x="T4" y="T5"/>
            </a:cxn>
          </a:cxnLst>
          <a:rect l="0" t="0" r="r" b="b"/>
          <a:pathLst>
            <a:path w="149" h="14">
              <a:moveTo>
                <a:pt x="0" y="0"/>
              </a:moveTo>
              <a:lnTo>
                <a:pt x="0" y="14"/>
              </a:lnTo>
              <a:lnTo>
                <a:pt x="149" y="14"/>
              </a:lnTo>
            </a:path>
          </a:pathLst>
        </a:custGeom>
        <a:noFill/>
        <a:ln w="15875" cap="flat" cmpd="sng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</a:extLst>
      </xdr:spPr>
    </xdr:sp>
    <xdr:clientData/>
  </xdr:twoCellAnchor>
  <xdr:twoCellAnchor>
    <xdr:from>
      <xdr:col>9</xdr:col>
      <xdr:colOff>409575</xdr:colOff>
      <xdr:row>36</xdr:row>
      <xdr:rowOff>76200</xdr:rowOff>
    </xdr:from>
    <xdr:to>
      <xdr:col>10</xdr:col>
      <xdr:colOff>438150</xdr:colOff>
      <xdr:row>36</xdr:row>
      <xdr:rowOff>104775</xdr:rowOff>
    </xdr:to>
    <xdr:sp macro="" textlink="">
      <xdr:nvSpPr>
        <xdr:cNvPr id="14" name="Line 42"/>
        <xdr:cNvSpPr>
          <a:spLocks noChangeShapeType="1"/>
        </xdr:cNvSpPr>
      </xdr:nvSpPr>
      <xdr:spPr bwMode="auto">
        <a:xfrm flipH="1" flipV="1">
          <a:off x="5895975" y="5905500"/>
          <a:ext cx="638175" cy="28575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</xdr:col>
      <xdr:colOff>161925</xdr:colOff>
      <xdr:row>36</xdr:row>
      <xdr:rowOff>142875</xdr:rowOff>
    </xdr:from>
    <xdr:to>
      <xdr:col>7</xdr:col>
      <xdr:colOff>457200</xdr:colOff>
      <xdr:row>37</xdr:row>
      <xdr:rowOff>38100</xdr:rowOff>
    </xdr:to>
    <xdr:sp macro="" textlink="">
      <xdr:nvSpPr>
        <xdr:cNvPr id="15" name="Rectangle 43"/>
        <xdr:cNvSpPr>
          <a:spLocks noChangeArrowheads="1"/>
        </xdr:cNvSpPr>
      </xdr:nvSpPr>
      <xdr:spPr bwMode="auto">
        <a:xfrm>
          <a:off x="4429125" y="5972175"/>
          <a:ext cx="295275" cy="5715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sp>
    <xdr:clientData/>
  </xdr:twoCellAnchor>
  <xdr:twoCellAnchor>
    <xdr:from>
      <xdr:col>7</xdr:col>
      <xdr:colOff>209550</xdr:colOff>
      <xdr:row>37</xdr:row>
      <xdr:rowOff>47625</xdr:rowOff>
    </xdr:from>
    <xdr:to>
      <xdr:col>8</xdr:col>
      <xdr:colOff>228600</xdr:colOff>
      <xdr:row>38</xdr:row>
      <xdr:rowOff>114300</xdr:rowOff>
    </xdr:to>
    <xdr:sp macro="" textlink="">
      <xdr:nvSpPr>
        <xdr:cNvPr id="16" name="Line 44"/>
        <xdr:cNvSpPr>
          <a:spLocks noChangeShapeType="1"/>
        </xdr:cNvSpPr>
      </xdr:nvSpPr>
      <xdr:spPr bwMode="auto">
        <a:xfrm>
          <a:off x="4476750" y="6038850"/>
          <a:ext cx="628650" cy="22860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</xdr:col>
      <xdr:colOff>409575</xdr:colOff>
      <xdr:row>37</xdr:row>
      <xdr:rowOff>57150</xdr:rowOff>
    </xdr:from>
    <xdr:to>
      <xdr:col>8</xdr:col>
      <xdr:colOff>304800</xdr:colOff>
      <xdr:row>38</xdr:row>
      <xdr:rowOff>85725</xdr:rowOff>
    </xdr:to>
    <xdr:sp macro="" textlink="">
      <xdr:nvSpPr>
        <xdr:cNvPr id="17" name="Line 45"/>
        <xdr:cNvSpPr>
          <a:spLocks noChangeShapeType="1"/>
        </xdr:cNvSpPr>
      </xdr:nvSpPr>
      <xdr:spPr bwMode="auto">
        <a:xfrm>
          <a:off x="4676775" y="6048375"/>
          <a:ext cx="504825" cy="19050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</xdr:col>
      <xdr:colOff>209550</xdr:colOff>
      <xdr:row>36</xdr:row>
      <xdr:rowOff>142875</xdr:rowOff>
    </xdr:from>
    <xdr:to>
      <xdr:col>7</xdr:col>
      <xdr:colOff>209550</xdr:colOff>
      <xdr:row>37</xdr:row>
      <xdr:rowOff>57150</xdr:rowOff>
    </xdr:to>
    <xdr:sp macro="" textlink="">
      <xdr:nvSpPr>
        <xdr:cNvPr id="18" name="Line 46"/>
        <xdr:cNvSpPr>
          <a:spLocks noChangeShapeType="1"/>
        </xdr:cNvSpPr>
      </xdr:nvSpPr>
      <xdr:spPr bwMode="auto">
        <a:xfrm flipH="1" flipV="1">
          <a:off x="4476750" y="5972175"/>
          <a:ext cx="0" cy="76200"/>
        </a:xfrm>
        <a:prstGeom prst="line">
          <a:avLst/>
        </a:prstGeom>
        <a:noFill/>
        <a:ln w="1587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</xdr:col>
      <xdr:colOff>409575</xdr:colOff>
      <xdr:row>36</xdr:row>
      <xdr:rowOff>152400</xdr:rowOff>
    </xdr:from>
    <xdr:to>
      <xdr:col>7</xdr:col>
      <xdr:colOff>409575</xdr:colOff>
      <xdr:row>37</xdr:row>
      <xdr:rowOff>66675</xdr:rowOff>
    </xdr:to>
    <xdr:sp macro="" textlink="">
      <xdr:nvSpPr>
        <xdr:cNvPr id="19" name="Line 48"/>
        <xdr:cNvSpPr>
          <a:spLocks noChangeShapeType="1"/>
        </xdr:cNvSpPr>
      </xdr:nvSpPr>
      <xdr:spPr bwMode="auto">
        <a:xfrm flipV="1">
          <a:off x="4676775" y="5981700"/>
          <a:ext cx="0" cy="76200"/>
        </a:xfrm>
        <a:prstGeom prst="line">
          <a:avLst/>
        </a:prstGeom>
        <a:noFill/>
        <a:ln w="19050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</xdr:col>
      <xdr:colOff>371475</xdr:colOff>
      <xdr:row>38</xdr:row>
      <xdr:rowOff>95250</xdr:rowOff>
    </xdr:from>
    <xdr:to>
      <xdr:col>9</xdr:col>
      <xdr:colOff>142875</xdr:colOff>
      <xdr:row>38</xdr:row>
      <xdr:rowOff>104775</xdr:rowOff>
    </xdr:to>
    <xdr:sp macro="" textlink="">
      <xdr:nvSpPr>
        <xdr:cNvPr id="20" name="Line 50"/>
        <xdr:cNvSpPr>
          <a:spLocks noChangeShapeType="1"/>
        </xdr:cNvSpPr>
      </xdr:nvSpPr>
      <xdr:spPr bwMode="auto">
        <a:xfrm flipH="1">
          <a:off x="5248275" y="6248400"/>
          <a:ext cx="381000" cy="9525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</xdr:col>
      <xdr:colOff>514350</xdr:colOff>
      <xdr:row>37</xdr:row>
      <xdr:rowOff>38100</xdr:rowOff>
    </xdr:from>
    <xdr:to>
      <xdr:col>7</xdr:col>
      <xdr:colOff>657225</xdr:colOff>
      <xdr:row>37</xdr:row>
      <xdr:rowOff>76200</xdr:rowOff>
    </xdr:to>
    <xdr:sp macro="" textlink="">
      <xdr:nvSpPr>
        <xdr:cNvPr id="21" name="Line 51"/>
        <xdr:cNvSpPr>
          <a:spLocks noChangeShapeType="1"/>
        </xdr:cNvSpPr>
      </xdr:nvSpPr>
      <xdr:spPr bwMode="auto">
        <a:xfrm flipH="1" flipV="1">
          <a:off x="4781550" y="6029325"/>
          <a:ext cx="95250" cy="3810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</xdr:col>
      <xdr:colOff>381000</xdr:colOff>
      <xdr:row>35</xdr:row>
      <xdr:rowOff>76200</xdr:rowOff>
    </xdr:from>
    <xdr:to>
      <xdr:col>4</xdr:col>
      <xdr:colOff>628650</xdr:colOff>
      <xdr:row>35</xdr:row>
      <xdr:rowOff>133350</xdr:rowOff>
    </xdr:to>
    <xdr:sp macro="" textlink="">
      <xdr:nvSpPr>
        <xdr:cNvPr id="22" name="Line 52"/>
        <xdr:cNvSpPr>
          <a:spLocks noChangeShapeType="1"/>
        </xdr:cNvSpPr>
      </xdr:nvSpPr>
      <xdr:spPr bwMode="auto">
        <a:xfrm>
          <a:off x="2819400" y="5743575"/>
          <a:ext cx="228600" cy="5715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</xdr:col>
      <xdr:colOff>190500</xdr:colOff>
      <xdr:row>37</xdr:row>
      <xdr:rowOff>19050</xdr:rowOff>
    </xdr:from>
    <xdr:to>
      <xdr:col>6</xdr:col>
      <xdr:colOff>333375</xdr:colOff>
      <xdr:row>38</xdr:row>
      <xdr:rowOff>0</xdr:rowOff>
    </xdr:to>
    <xdr:sp macro="" textlink="">
      <xdr:nvSpPr>
        <xdr:cNvPr id="23" name="Line 53"/>
        <xdr:cNvSpPr>
          <a:spLocks noChangeShapeType="1"/>
        </xdr:cNvSpPr>
      </xdr:nvSpPr>
      <xdr:spPr bwMode="auto">
        <a:xfrm flipV="1">
          <a:off x="3848100" y="6010275"/>
          <a:ext cx="142875" cy="142875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</xdr:col>
      <xdr:colOff>38100</xdr:colOff>
      <xdr:row>35</xdr:row>
      <xdr:rowOff>47625</xdr:rowOff>
    </xdr:from>
    <xdr:to>
      <xdr:col>8</xdr:col>
      <xdr:colOff>238125</xdr:colOff>
      <xdr:row>35</xdr:row>
      <xdr:rowOff>47625</xdr:rowOff>
    </xdr:to>
    <xdr:sp macro="" textlink="">
      <xdr:nvSpPr>
        <xdr:cNvPr id="24" name="Line 54"/>
        <xdr:cNvSpPr>
          <a:spLocks noChangeShapeType="1"/>
        </xdr:cNvSpPr>
      </xdr:nvSpPr>
      <xdr:spPr bwMode="auto">
        <a:xfrm flipH="1">
          <a:off x="3086100" y="5715000"/>
          <a:ext cx="2028825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</xdr:col>
      <xdr:colOff>419100</xdr:colOff>
      <xdr:row>35</xdr:row>
      <xdr:rowOff>57150</xdr:rowOff>
    </xdr:from>
    <xdr:to>
      <xdr:col>10</xdr:col>
      <xdr:colOff>0</xdr:colOff>
      <xdr:row>35</xdr:row>
      <xdr:rowOff>57150</xdr:rowOff>
    </xdr:to>
    <xdr:sp macro="" textlink="">
      <xdr:nvSpPr>
        <xdr:cNvPr id="25" name="Line 56"/>
        <xdr:cNvSpPr>
          <a:spLocks noChangeShapeType="1"/>
        </xdr:cNvSpPr>
      </xdr:nvSpPr>
      <xdr:spPr bwMode="auto">
        <a:xfrm>
          <a:off x="5905500" y="5724525"/>
          <a:ext cx="190500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</xdr:col>
      <xdr:colOff>266700</xdr:colOff>
      <xdr:row>36</xdr:row>
      <xdr:rowOff>9525</xdr:rowOff>
    </xdr:from>
    <xdr:to>
      <xdr:col>7</xdr:col>
      <xdr:colOff>361950</xdr:colOff>
      <xdr:row>36</xdr:row>
      <xdr:rowOff>123825</xdr:rowOff>
    </xdr:to>
    <xdr:sp macro="" textlink="">
      <xdr:nvSpPr>
        <xdr:cNvPr id="26" name="Oval 57"/>
        <xdr:cNvSpPr>
          <a:spLocks noChangeArrowheads="1"/>
        </xdr:cNvSpPr>
      </xdr:nvSpPr>
      <xdr:spPr bwMode="auto">
        <a:xfrm>
          <a:off x="4533900" y="5838825"/>
          <a:ext cx="95250" cy="114300"/>
        </a:xfrm>
        <a:prstGeom prst="ellipse">
          <a:avLst/>
        </a:prstGeom>
        <a:solidFill>
          <a:srgbClr xmlns:mc="http://schemas.openxmlformats.org/markup-compatibility/2006" xmlns:a14="http://schemas.microsoft.com/office/drawing/2010/main" val="000000" mc:Ignorable="a14" a14:legacySpreadsheetColorIndex="8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</xdr:spPr>
    </xdr:sp>
    <xdr:clientData/>
  </xdr:twoCellAnchor>
  <xdr:twoCellAnchor>
    <xdr:from>
      <xdr:col>7</xdr:col>
      <xdr:colOff>390525</xdr:colOff>
      <xdr:row>36</xdr:row>
      <xdr:rowOff>19050</xdr:rowOff>
    </xdr:from>
    <xdr:to>
      <xdr:col>9</xdr:col>
      <xdr:colOff>590550</xdr:colOff>
      <xdr:row>36</xdr:row>
      <xdr:rowOff>142875</xdr:rowOff>
    </xdr:to>
    <xdr:sp macro="" textlink="">
      <xdr:nvSpPr>
        <xdr:cNvPr id="27" name="Freeform 58"/>
        <xdr:cNvSpPr>
          <a:spLocks/>
        </xdr:cNvSpPr>
      </xdr:nvSpPr>
      <xdr:spPr bwMode="auto">
        <a:xfrm>
          <a:off x="4657725" y="5848350"/>
          <a:ext cx="1419225" cy="123825"/>
        </a:xfrm>
        <a:custGeom>
          <a:avLst/>
          <a:gdLst>
            <a:gd name="T0" fmla="*/ 156 w 156"/>
            <a:gd name="T1" fmla="*/ 0 h 13"/>
            <a:gd name="T2" fmla="*/ 156 w 156"/>
            <a:gd name="T3" fmla="*/ 13 h 13"/>
            <a:gd name="T4" fmla="*/ 0 w 156"/>
            <a:gd name="T5" fmla="*/ 13 h 13"/>
          </a:gdLst>
          <a:ahLst/>
          <a:cxnLst>
            <a:cxn ang="0">
              <a:pos x="T0" y="T1"/>
            </a:cxn>
            <a:cxn ang="0">
              <a:pos x="T2" y="T3"/>
            </a:cxn>
            <a:cxn ang="0">
              <a:pos x="T4" y="T5"/>
            </a:cxn>
          </a:cxnLst>
          <a:rect l="0" t="0" r="r" b="b"/>
          <a:pathLst>
            <a:path w="156" h="13">
              <a:moveTo>
                <a:pt x="156" y="0"/>
              </a:moveTo>
              <a:lnTo>
                <a:pt x="156" y="13"/>
              </a:lnTo>
              <a:lnTo>
                <a:pt x="0" y="13"/>
              </a:lnTo>
            </a:path>
          </a:pathLst>
        </a:custGeom>
        <a:noFill/>
        <a:ln w="25400" cap="flat" cmpd="sng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</a:extLst>
      </xdr:spPr>
    </xdr:sp>
    <xdr:clientData/>
  </xdr:twoCellAnchor>
  <xdr:twoCellAnchor>
    <xdr:from>
      <xdr:col>5</xdr:col>
      <xdr:colOff>19050</xdr:colOff>
      <xdr:row>36</xdr:row>
      <xdr:rowOff>9525</xdr:rowOff>
    </xdr:from>
    <xdr:to>
      <xdr:col>7</xdr:col>
      <xdr:colOff>219075</xdr:colOff>
      <xdr:row>36</xdr:row>
      <xdr:rowOff>142875</xdr:rowOff>
    </xdr:to>
    <xdr:sp macro="" textlink="">
      <xdr:nvSpPr>
        <xdr:cNvPr id="28" name="Freeform 59"/>
        <xdr:cNvSpPr>
          <a:spLocks/>
        </xdr:cNvSpPr>
      </xdr:nvSpPr>
      <xdr:spPr bwMode="auto">
        <a:xfrm>
          <a:off x="3067050" y="5838825"/>
          <a:ext cx="1419225" cy="133350"/>
        </a:xfrm>
        <a:custGeom>
          <a:avLst/>
          <a:gdLst>
            <a:gd name="T0" fmla="*/ 0 w 149"/>
            <a:gd name="T1" fmla="*/ 0 h 14"/>
            <a:gd name="T2" fmla="*/ 0 w 149"/>
            <a:gd name="T3" fmla="*/ 14 h 14"/>
            <a:gd name="T4" fmla="*/ 149 w 149"/>
            <a:gd name="T5" fmla="*/ 14 h 14"/>
          </a:gdLst>
          <a:ahLst/>
          <a:cxnLst>
            <a:cxn ang="0">
              <a:pos x="T0" y="T1"/>
            </a:cxn>
            <a:cxn ang="0">
              <a:pos x="T2" y="T3"/>
            </a:cxn>
            <a:cxn ang="0">
              <a:pos x="T4" y="T5"/>
            </a:cxn>
          </a:cxnLst>
          <a:rect l="0" t="0" r="r" b="b"/>
          <a:pathLst>
            <a:path w="149" h="14">
              <a:moveTo>
                <a:pt x="0" y="0"/>
              </a:moveTo>
              <a:lnTo>
                <a:pt x="0" y="14"/>
              </a:lnTo>
              <a:lnTo>
                <a:pt x="149" y="14"/>
              </a:lnTo>
            </a:path>
          </a:pathLst>
        </a:custGeom>
        <a:noFill/>
        <a:ln w="25400" cap="flat" cmpd="sng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</a:extLst>
      </xdr:spPr>
    </xdr:sp>
    <xdr:clientData/>
  </xdr:twoCellAnchor>
  <xdr:twoCellAnchor>
    <xdr:from>
      <xdr:col>9</xdr:col>
      <xdr:colOff>409575</xdr:colOff>
      <xdr:row>36</xdr:row>
      <xdr:rowOff>76200</xdr:rowOff>
    </xdr:from>
    <xdr:to>
      <xdr:col>10</xdr:col>
      <xdr:colOff>438150</xdr:colOff>
      <xdr:row>36</xdr:row>
      <xdr:rowOff>104775</xdr:rowOff>
    </xdr:to>
    <xdr:sp macro="" textlink="">
      <xdr:nvSpPr>
        <xdr:cNvPr id="29" name="Line 60"/>
        <xdr:cNvSpPr>
          <a:spLocks noChangeShapeType="1"/>
        </xdr:cNvSpPr>
      </xdr:nvSpPr>
      <xdr:spPr bwMode="auto">
        <a:xfrm flipH="1" flipV="1">
          <a:off x="5895975" y="5905500"/>
          <a:ext cx="638175" cy="28575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</xdr:col>
      <xdr:colOff>161925</xdr:colOff>
      <xdr:row>36</xdr:row>
      <xdr:rowOff>142875</xdr:rowOff>
    </xdr:from>
    <xdr:to>
      <xdr:col>7</xdr:col>
      <xdr:colOff>457200</xdr:colOff>
      <xdr:row>37</xdr:row>
      <xdr:rowOff>38100</xdr:rowOff>
    </xdr:to>
    <xdr:sp macro="" textlink="">
      <xdr:nvSpPr>
        <xdr:cNvPr id="30" name="Rectangle 61"/>
        <xdr:cNvSpPr>
          <a:spLocks noChangeArrowheads="1"/>
        </xdr:cNvSpPr>
      </xdr:nvSpPr>
      <xdr:spPr bwMode="auto">
        <a:xfrm>
          <a:off x="4429125" y="5972175"/>
          <a:ext cx="295275" cy="5715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sp>
    <xdr:clientData/>
  </xdr:twoCellAnchor>
  <xdr:twoCellAnchor>
    <xdr:from>
      <xdr:col>7</xdr:col>
      <xdr:colOff>209550</xdr:colOff>
      <xdr:row>36</xdr:row>
      <xdr:rowOff>142875</xdr:rowOff>
    </xdr:from>
    <xdr:to>
      <xdr:col>7</xdr:col>
      <xdr:colOff>209550</xdr:colOff>
      <xdr:row>37</xdr:row>
      <xdr:rowOff>57150</xdr:rowOff>
    </xdr:to>
    <xdr:sp macro="" textlink="">
      <xdr:nvSpPr>
        <xdr:cNvPr id="31" name="Line 62"/>
        <xdr:cNvSpPr>
          <a:spLocks noChangeShapeType="1"/>
        </xdr:cNvSpPr>
      </xdr:nvSpPr>
      <xdr:spPr bwMode="auto">
        <a:xfrm flipH="1" flipV="1">
          <a:off x="4476750" y="5972175"/>
          <a:ext cx="0" cy="76200"/>
        </a:xfrm>
        <a:prstGeom prst="line">
          <a:avLst/>
        </a:prstGeom>
        <a:noFill/>
        <a:ln w="1587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</xdr:col>
      <xdr:colOff>409575</xdr:colOff>
      <xdr:row>36</xdr:row>
      <xdr:rowOff>152400</xdr:rowOff>
    </xdr:from>
    <xdr:to>
      <xdr:col>7</xdr:col>
      <xdr:colOff>409575</xdr:colOff>
      <xdr:row>37</xdr:row>
      <xdr:rowOff>66675</xdr:rowOff>
    </xdr:to>
    <xdr:sp macro="" textlink="">
      <xdr:nvSpPr>
        <xdr:cNvPr id="32" name="Line 63"/>
        <xdr:cNvSpPr>
          <a:spLocks noChangeShapeType="1"/>
        </xdr:cNvSpPr>
      </xdr:nvSpPr>
      <xdr:spPr bwMode="auto">
        <a:xfrm flipV="1">
          <a:off x="4676775" y="5981700"/>
          <a:ext cx="0" cy="76200"/>
        </a:xfrm>
        <a:prstGeom prst="line">
          <a:avLst/>
        </a:prstGeom>
        <a:noFill/>
        <a:ln w="19050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285750</xdr:colOff>
      <xdr:row>29</xdr:row>
      <xdr:rowOff>9525</xdr:rowOff>
    </xdr:from>
    <xdr:to>
      <xdr:col>6</xdr:col>
      <xdr:colOff>314325</xdr:colOff>
      <xdr:row>31</xdr:row>
      <xdr:rowOff>0</xdr:rowOff>
    </xdr:to>
    <xdr:sp macro="" textlink="">
      <xdr:nvSpPr>
        <xdr:cNvPr id="2" name="Line 1"/>
        <xdr:cNvSpPr>
          <a:spLocks noChangeShapeType="1"/>
        </xdr:cNvSpPr>
      </xdr:nvSpPr>
      <xdr:spPr bwMode="auto">
        <a:xfrm flipH="1">
          <a:off x="3333750" y="4705350"/>
          <a:ext cx="638175" cy="314325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</xdr:col>
      <xdr:colOff>266700</xdr:colOff>
      <xdr:row>37</xdr:row>
      <xdr:rowOff>9525</xdr:rowOff>
    </xdr:from>
    <xdr:to>
      <xdr:col>7</xdr:col>
      <xdr:colOff>361950</xdr:colOff>
      <xdr:row>37</xdr:row>
      <xdr:rowOff>123825</xdr:rowOff>
    </xdr:to>
    <xdr:sp macro="" textlink="">
      <xdr:nvSpPr>
        <xdr:cNvPr id="3" name="Oval 21"/>
        <xdr:cNvSpPr>
          <a:spLocks noChangeArrowheads="1"/>
        </xdr:cNvSpPr>
      </xdr:nvSpPr>
      <xdr:spPr bwMode="auto">
        <a:xfrm>
          <a:off x="4533900" y="6000750"/>
          <a:ext cx="95250" cy="114300"/>
        </a:xfrm>
        <a:prstGeom prst="ellipse">
          <a:avLst/>
        </a:prstGeom>
        <a:solidFill>
          <a:srgbClr xmlns:mc="http://schemas.openxmlformats.org/markup-compatibility/2006" xmlns:a14="http://schemas.microsoft.com/office/drawing/2010/main" val="000000" mc:Ignorable="a14" a14:legacySpreadsheetColorIndex="8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</xdr:spPr>
    </xdr:sp>
    <xdr:clientData/>
  </xdr:twoCellAnchor>
  <xdr:twoCellAnchor>
    <xdr:from>
      <xdr:col>9</xdr:col>
      <xdr:colOff>533400</xdr:colOff>
      <xdr:row>27</xdr:row>
      <xdr:rowOff>104775</xdr:rowOff>
    </xdr:from>
    <xdr:to>
      <xdr:col>11</xdr:col>
      <xdr:colOff>600075</xdr:colOff>
      <xdr:row>27</xdr:row>
      <xdr:rowOff>104775</xdr:rowOff>
    </xdr:to>
    <xdr:sp macro="" textlink="">
      <xdr:nvSpPr>
        <xdr:cNvPr id="4" name="Line 28"/>
        <xdr:cNvSpPr>
          <a:spLocks noChangeShapeType="1"/>
        </xdr:cNvSpPr>
      </xdr:nvSpPr>
      <xdr:spPr bwMode="auto">
        <a:xfrm>
          <a:off x="6019800" y="4476750"/>
          <a:ext cx="1285875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</xdr:col>
      <xdr:colOff>66675</xdr:colOff>
      <xdr:row>27</xdr:row>
      <xdr:rowOff>76200</xdr:rowOff>
    </xdr:from>
    <xdr:to>
      <xdr:col>6</xdr:col>
      <xdr:colOff>266700</xdr:colOff>
      <xdr:row>27</xdr:row>
      <xdr:rowOff>76200</xdr:rowOff>
    </xdr:to>
    <xdr:sp macro="" textlink="">
      <xdr:nvSpPr>
        <xdr:cNvPr id="5" name="Line 29"/>
        <xdr:cNvSpPr>
          <a:spLocks noChangeShapeType="1"/>
        </xdr:cNvSpPr>
      </xdr:nvSpPr>
      <xdr:spPr bwMode="auto">
        <a:xfrm flipH="1">
          <a:off x="3724275" y="4448175"/>
          <a:ext cx="200025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</xdr:col>
      <xdr:colOff>333375</xdr:colOff>
      <xdr:row>29</xdr:row>
      <xdr:rowOff>9525</xdr:rowOff>
    </xdr:from>
    <xdr:to>
      <xdr:col>7</xdr:col>
      <xdr:colOff>361950</xdr:colOff>
      <xdr:row>31</xdr:row>
      <xdr:rowOff>0</xdr:rowOff>
    </xdr:to>
    <xdr:sp macro="" textlink="">
      <xdr:nvSpPr>
        <xdr:cNvPr id="6" name="Line 30"/>
        <xdr:cNvSpPr>
          <a:spLocks noChangeShapeType="1"/>
        </xdr:cNvSpPr>
      </xdr:nvSpPr>
      <xdr:spPr bwMode="auto">
        <a:xfrm flipH="1">
          <a:off x="3990975" y="4705350"/>
          <a:ext cx="638175" cy="314325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</xdr:col>
      <xdr:colOff>276225</xdr:colOff>
      <xdr:row>29</xdr:row>
      <xdr:rowOff>19050</xdr:rowOff>
    </xdr:from>
    <xdr:to>
      <xdr:col>8</xdr:col>
      <xdr:colOff>304800</xdr:colOff>
      <xdr:row>31</xdr:row>
      <xdr:rowOff>9525</xdr:rowOff>
    </xdr:to>
    <xdr:sp macro="" textlink="">
      <xdr:nvSpPr>
        <xdr:cNvPr id="7" name="Line 31"/>
        <xdr:cNvSpPr>
          <a:spLocks noChangeShapeType="1"/>
        </xdr:cNvSpPr>
      </xdr:nvSpPr>
      <xdr:spPr bwMode="auto">
        <a:xfrm flipH="1">
          <a:off x="4543425" y="4714875"/>
          <a:ext cx="638175" cy="314325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</xdr:col>
      <xdr:colOff>371475</xdr:colOff>
      <xdr:row>29</xdr:row>
      <xdr:rowOff>9525</xdr:rowOff>
    </xdr:from>
    <xdr:to>
      <xdr:col>9</xdr:col>
      <xdr:colOff>400050</xdr:colOff>
      <xdr:row>31</xdr:row>
      <xdr:rowOff>0</xdr:rowOff>
    </xdr:to>
    <xdr:sp macro="" textlink="">
      <xdr:nvSpPr>
        <xdr:cNvPr id="8" name="Line 32"/>
        <xdr:cNvSpPr>
          <a:spLocks noChangeShapeType="1"/>
        </xdr:cNvSpPr>
      </xdr:nvSpPr>
      <xdr:spPr bwMode="auto">
        <a:xfrm flipH="1">
          <a:off x="5248275" y="4705350"/>
          <a:ext cx="638175" cy="314325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</xdr:col>
      <xdr:colOff>266700</xdr:colOff>
      <xdr:row>29</xdr:row>
      <xdr:rowOff>28575</xdr:rowOff>
    </xdr:from>
    <xdr:to>
      <xdr:col>10</xdr:col>
      <xdr:colOff>295275</xdr:colOff>
      <xdr:row>31</xdr:row>
      <xdr:rowOff>19050</xdr:rowOff>
    </xdr:to>
    <xdr:sp macro="" textlink="">
      <xdr:nvSpPr>
        <xdr:cNvPr id="9" name="Line 33"/>
        <xdr:cNvSpPr>
          <a:spLocks noChangeShapeType="1"/>
        </xdr:cNvSpPr>
      </xdr:nvSpPr>
      <xdr:spPr bwMode="auto">
        <a:xfrm flipH="1">
          <a:off x="5753100" y="4724400"/>
          <a:ext cx="638175" cy="314325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</xdr:col>
      <xdr:colOff>447675</xdr:colOff>
      <xdr:row>22</xdr:row>
      <xdr:rowOff>47625</xdr:rowOff>
    </xdr:from>
    <xdr:to>
      <xdr:col>7</xdr:col>
      <xdr:colOff>142875</xdr:colOff>
      <xdr:row>23</xdr:row>
      <xdr:rowOff>38100</xdr:rowOff>
    </xdr:to>
    <xdr:sp macro="" textlink="">
      <xdr:nvSpPr>
        <xdr:cNvPr id="10" name="Line 37"/>
        <xdr:cNvSpPr>
          <a:spLocks noChangeShapeType="1"/>
        </xdr:cNvSpPr>
      </xdr:nvSpPr>
      <xdr:spPr bwMode="auto">
        <a:xfrm flipV="1">
          <a:off x="4105275" y="3609975"/>
          <a:ext cx="304800" cy="15240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</xdr:col>
      <xdr:colOff>390525</xdr:colOff>
      <xdr:row>37</xdr:row>
      <xdr:rowOff>19050</xdr:rowOff>
    </xdr:from>
    <xdr:to>
      <xdr:col>9</xdr:col>
      <xdr:colOff>590550</xdr:colOff>
      <xdr:row>37</xdr:row>
      <xdr:rowOff>142875</xdr:rowOff>
    </xdr:to>
    <xdr:sp macro="" textlink="">
      <xdr:nvSpPr>
        <xdr:cNvPr id="11" name="Freeform 40"/>
        <xdr:cNvSpPr>
          <a:spLocks/>
        </xdr:cNvSpPr>
      </xdr:nvSpPr>
      <xdr:spPr bwMode="auto">
        <a:xfrm>
          <a:off x="4657725" y="6010275"/>
          <a:ext cx="1419225" cy="123825"/>
        </a:xfrm>
        <a:custGeom>
          <a:avLst/>
          <a:gdLst>
            <a:gd name="T0" fmla="*/ 156 w 156"/>
            <a:gd name="T1" fmla="*/ 0 h 13"/>
            <a:gd name="T2" fmla="*/ 156 w 156"/>
            <a:gd name="T3" fmla="*/ 13 h 13"/>
            <a:gd name="T4" fmla="*/ 0 w 156"/>
            <a:gd name="T5" fmla="*/ 13 h 13"/>
          </a:gdLst>
          <a:ahLst/>
          <a:cxnLst>
            <a:cxn ang="0">
              <a:pos x="T0" y="T1"/>
            </a:cxn>
            <a:cxn ang="0">
              <a:pos x="T2" y="T3"/>
            </a:cxn>
            <a:cxn ang="0">
              <a:pos x="T4" y="T5"/>
            </a:cxn>
          </a:cxnLst>
          <a:rect l="0" t="0" r="r" b="b"/>
          <a:pathLst>
            <a:path w="156" h="13">
              <a:moveTo>
                <a:pt x="156" y="0"/>
              </a:moveTo>
              <a:lnTo>
                <a:pt x="156" y="13"/>
              </a:lnTo>
              <a:lnTo>
                <a:pt x="0" y="13"/>
              </a:lnTo>
            </a:path>
          </a:pathLst>
        </a:custGeom>
        <a:noFill/>
        <a:ln w="15875" cap="flat" cmpd="sng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</a:extLst>
      </xdr:spPr>
    </xdr:sp>
    <xdr:clientData/>
  </xdr:twoCellAnchor>
  <xdr:twoCellAnchor>
    <xdr:from>
      <xdr:col>5</xdr:col>
      <xdr:colOff>19050</xdr:colOff>
      <xdr:row>37</xdr:row>
      <xdr:rowOff>9525</xdr:rowOff>
    </xdr:from>
    <xdr:to>
      <xdr:col>7</xdr:col>
      <xdr:colOff>219075</xdr:colOff>
      <xdr:row>37</xdr:row>
      <xdr:rowOff>142875</xdr:rowOff>
    </xdr:to>
    <xdr:sp macro="" textlink="">
      <xdr:nvSpPr>
        <xdr:cNvPr id="12" name="Freeform 41"/>
        <xdr:cNvSpPr>
          <a:spLocks/>
        </xdr:cNvSpPr>
      </xdr:nvSpPr>
      <xdr:spPr bwMode="auto">
        <a:xfrm>
          <a:off x="3067050" y="6000750"/>
          <a:ext cx="1419225" cy="133350"/>
        </a:xfrm>
        <a:custGeom>
          <a:avLst/>
          <a:gdLst>
            <a:gd name="T0" fmla="*/ 0 w 149"/>
            <a:gd name="T1" fmla="*/ 0 h 14"/>
            <a:gd name="T2" fmla="*/ 0 w 149"/>
            <a:gd name="T3" fmla="*/ 14 h 14"/>
            <a:gd name="T4" fmla="*/ 149 w 149"/>
            <a:gd name="T5" fmla="*/ 14 h 14"/>
          </a:gdLst>
          <a:ahLst/>
          <a:cxnLst>
            <a:cxn ang="0">
              <a:pos x="T0" y="T1"/>
            </a:cxn>
            <a:cxn ang="0">
              <a:pos x="T2" y="T3"/>
            </a:cxn>
            <a:cxn ang="0">
              <a:pos x="T4" y="T5"/>
            </a:cxn>
          </a:cxnLst>
          <a:rect l="0" t="0" r="r" b="b"/>
          <a:pathLst>
            <a:path w="149" h="14">
              <a:moveTo>
                <a:pt x="0" y="0"/>
              </a:moveTo>
              <a:lnTo>
                <a:pt x="0" y="14"/>
              </a:lnTo>
              <a:lnTo>
                <a:pt x="149" y="14"/>
              </a:lnTo>
            </a:path>
          </a:pathLst>
        </a:custGeom>
        <a:noFill/>
        <a:ln w="15875" cap="flat" cmpd="sng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</a:extLst>
      </xdr:spPr>
    </xdr:sp>
    <xdr:clientData/>
  </xdr:twoCellAnchor>
  <xdr:twoCellAnchor>
    <xdr:from>
      <xdr:col>9</xdr:col>
      <xdr:colOff>409575</xdr:colOff>
      <xdr:row>37</xdr:row>
      <xdr:rowOff>76200</xdr:rowOff>
    </xdr:from>
    <xdr:to>
      <xdr:col>10</xdr:col>
      <xdr:colOff>438150</xdr:colOff>
      <xdr:row>37</xdr:row>
      <xdr:rowOff>104775</xdr:rowOff>
    </xdr:to>
    <xdr:sp macro="" textlink="">
      <xdr:nvSpPr>
        <xdr:cNvPr id="13" name="Line 42"/>
        <xdr:cNvSpPr>
          <a:spLocks noChangeShapeType="1"/>
        </xdr:cNvSpPr>
      </xdr:nvSpPr>
      <xdr:spPr bwMode="auto">
        <a:xfrm flipH="1" flipV="1">
          <a:off x="5895975" y="6067425"/>
          <a:ext cx="638175" cy="28575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</xdr:col>
      <xdr:colOff>161925</xdr:colOff>
      <xdr:row>37</xdr:row>
      <xdr:rowOff>142875</xdr:rowOff>
    </xdr:from>
    <xdr:to>
      <xdr:col>7</xdr:col>
      <xdr:colOff>457200</xdr:colOff>
      <xdr:row>38</xdr:row>
      <xdr:rowOff>38100</xdr:rowOff>
    </xdr:to>
    <xdr:sp macro="" textlink="">
      <xdr:nvSpPr>
        <xdr:cNvPr id="14" name="Rectangle 43"/>
        <xdr:cNvSpPr>
          <a:spLocks noChangeArrowheads="1"/>
        </xdr:cNvSpPr>
      </xdr:nvSpPr>
      <xdr:spPr bwMode="auto">
        <a:xfrm>
          <a:off x="4429125" y="6134100"/>
          <a:ext cx="295275" cy="5715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sp>
    <xdr:clientData/>
  </xdr:twoCellAnchor>
  <xdr:twoCellAnchor>
    <xdr:from>
      <xdr:col>7</xdr:col>
      <xdr:colOff>209550</xdr:colOff>
      <xdr:row>38</xdr:row>
      <xdr:rowOff>47625</xdr:rowOff>
    </xdr:from>
    <xdr:to>
      <xdr:col>8</xdr:col>
      <xdr:colOff>228600</xdr:colOff>
      <xdr:row>39</xdr:row>
      <xdr:rowOff>114300</xdr:rowOff>
    </xdr:to>
    <xdr:sp macro="" textlink="">
      <xdr:nvSpPr>
        <xdr:cNvPr id="15" name="Line 44"/>
        <xdr:cNvSpPr>
          <a:spLocks noChangeShapeType="1"/>
        </xdr:cNvSpPr>
      </xdr:nvSpPr>
      <xdr:spPr bwMode="auto">
        <a:xfrm>
          <a:off x="4476750" y="6200775"/>
          <a:ext cx="628650" cy="22860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</xdr:col>
      <xdr:colOff>409575</xdr:colOff>
      <xdr:row>38</xdr:row>
      <xdr:rowOff>57150</xdr:rowOff>
    </xdr:from>
    <xdr:to>
      <xdr:col>8</xdr:col>
      <xdr:colOff>304800</xdr:colOff>
      <xdr:row>39</xdr:row>
      <xdr:rowOff>85725</xdr:rowOff>
    </xdr:to>
    <xdr:sp macro="" textlink="">
      <xdr:nvSpPr>
        <xdr:cNvPr id="16" name="Line 45"/>
        <xdr:cNvSpPr>
          <a:spLocks noChangeShapeType="1"/>
        </xdr:cNvSpPr>
      </xdr:nvSpPr>
      <xdr:spPr bwMode="auto">
        <a:xfrm>
          <a:off x="4676775" y="6210300"/>
          <a:ext cx="504825" cy="19050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</xdr:col>
      <xdr:colOff>209550</xdr:colOff>
      <xdr:row>37</xdr:row>
      <xdr:rowOff>142875</xdr:rowOff>
    </xdr:from>
    <xdr:to>
      <xdr:col>7</xdr:col>
      <xdr:colOff>209550</xdr:colOff>
      <xdr:row>38</xdr:row>
      <xdr:rowOff>57150</xdr:rowOff>
    </xdr:to>
    <xdr:sp macro="" textlink="">
      <xdr:nvSpPr>
        <xdr:cNvPr id="17" name="Line 46"/>
        <xdr:cNvSpPr>
          <a:spLocks noChangeShapeType="1"/>
        </xdr:cNvSpPr>
      </xdr:nvSpPr>
      <xdr:spPr bwMode="auto">
        <a:xfrm flipH="1" flipV="1">
          <a:off x="4476750" y="6134100"/>
          <a:ext cx="0" cy="76200"/>
        </a:xfrm>
        <a:prstGeom prst="line">
          <a:avLst/>
        </a:prstGeom>
        <a:noFill/>
        <a:ln w="1587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</xdr:col>
      <xdr:colOff>409575</xdr:colOff>
      <xdr:row>37</xdr:row>
      <xdr:rowOff>152400</xdr:rowOff>
    </xdr:from>
    <xdr:to>
      <xdr:col>7</xdr:col>
      <xdr:colOff>409575</xdr:colOff>
      <xdr:row>38</xdr:row>
      <xdr:rowOff>66675</xdr:rowOff>
    </xdr:to>
    <xdr:sp macro="" textlink="">
      <xdr:nvSpPr>
        <xdr:cNvPr id="18" name="Line 48"/>
        <xdr:cNvSpPr>
          <a:spLocks noChangeShapeType="1"/>
        </xdr:cNvSpPr>
      </xdr:nvSpPr>
      <xdr:spPr bwMode="auto">
        <a:xfrm flipV="1">
          <a:off x="4676775" y="6143625"/>
          <a:ext cx="0" cy="76200"/>
        </a:xfrm>
        <a:prstGeom prst="line">
          <a:avLst/>
        </a:prstGeom>
        <a:noFill/>
        <a:ln w="19050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</xdr:col>
      <xdr:colOff>371475</xdr:colOff>
      <xdr:row>39</xdr:row>
      <xdr:rowOff>95250</xdr:rowOff>
    </xdr:from>
    <xdr:to>
      <xdr:col>9</xdr:col>
      <xdr:colOff>142875</xdr:colOff>
      <xdr:row>39</xdr:row>
      <xdr:rowOff>104775</xdr:rowOff>
    </xdr:to>
    <xdr:sp macro="" textlink="">
      <xdr:nvSpPr>
        <xdr:cNvPr id="19" name="Line 50"/>
        <xdr:cNvSpPr>
          <a:spLocks noChangeShapeType="1"/>
        </xdr:cNvSpPr>
      </xdr:nvSpPr>
      <xdr:spPr bwMode="auto">
        <a:xfrm flipH="1">
          <a:off x="5248275" y="6410325"/>
          <a:ext cx="381000" cy="9525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</xdr:col>
      <xdr:colOff>514350</xdr:colOff>
      <xdr:row>38</xdr:row>
      <xdr:rowOff>38100</xdr:rowOff>
    </xdr:from>
    <xdr:to>
      <xdr:col>7</xdr:col>
      <xdr:colOff>657225</xdr:colOff>
      <xdr:row>38</xdr:row>
      <xdr:rowOff>76200</xdr:rowOff>
    </xdr:to>
    <xdr:sp macro="" textlink="">
      <xdr:nvSpPr>
        <xdr:cNvPr id="20" name="Line 51"/>
        <xdr:cNvSpPr>
          <a:spLocks noChangeShapeType="1"/>
        </xdr:cNvSpPr>
      </xdr:nvSpPr>
      <xdr:spPr bwMode="auto">
        <a:xfrm flipH="1" flipV="1">
          <a:off x="4781550" y="6191250"/>
          <a:ext cx="95250" cy="3810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</xdr:col>
      <xdr:colOff>381000</xdr:colOff>
      <xdr:row>36</xdr:row>
      <xdr:rowOff>76200</xdr:rowOff>
    </xdr:from>
    <xdr:to>
      <xdr:col>4</xdr:col>
      <xdr:colOff>628650</xdr:colOff>
      <xdr:row>36</xdr:row>
      <xdr:rowOff>133350</xdr:rowOff>
    </xdr:to>
    <xdr:sp macro="" textlink="">
      <xdr:nvSpPr>
        <xdr:cNvPr id="21" name="Line 52"/>
        <xdr:cNvSpPr>
          <a:spLocks noChangeShapeType="1"/>
        </xdr:cNvSpPr>
      </xdr:nvSpPr>
      <xdr:spPr bwMode="auto">
        <a:xfrm>
          <a:off x="2819400" y="5905500"/>
          <a:ext cx="228600" cy="5715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</xdr:col>
      <xdr:colOff>190500</xdr:colOff>
      <xdr:row>38</xdr:row>
      <xdr:rowOff>19050</xdr:rowOff>
    </xdr:from>
    <xdr:to>
      <xdr:col>6</xdr:col>
      <xdr:colOff>333375</xdr:colOff>
      <xdr:row>39</xdr:row>
      <xdr:rowOff>0</xdr:rowOff>
    </xdr:to>
    <xdr:sp macro="" textlink="">
      <xdr:nvSpPr>
        <xdr:cNvPr id="22" name="Line 53"/>
        <xdr:cNvSpPr>
          <a:spLocks noChangeShapeType="1"/>
        </xdr:cNvSpPr>
      </xdr:nvSpPr>
      <xdr:spPr bwMode="auto">
        <a:xfrm flipV="1">
          <a:off x="3848100" y="6172200"/>
          <a:ext cx="142875" cy="142875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</xdr:col>
      <xdr:colOff>28575</xdr:colOff>
      <xdr:row>36</xdr:row>
      <xdr:rowOff>104775</xdr:rowOff>
    </xdr:from>
    <xdr:to>
      <xdr:col>7</xdr:col>
      <xdr:colOff>647700</xdr:colOff>
      <xdr:row>36</xdr:row>
      <xdr:rowOff>104775</xdr:rowOff>
    </xdr:to>
    <xdr:sp macro="" textlink="">
      <xdr:nvSpPr>
        <xdr:cNvPr id="23" name="Line 54"/>
        <xdr:cNvSpPr>
          <a:spLocks noChangeShapeType="1"/>
        </xdr:cNvSpPr>
      </xdr:nvSpPr>
      <xdr:spPr bwMode="auto">
        <a:xfrm flipH="1">
          <a:off x="3076575" y="5934075"/>
          <a:ext cx="1800225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</xdr:col>
      <xdr:colOff>419100</xdr:colOff>
      <xdr:row>36</xdr:row>
      <xdr:rowOff>114300</xdr:rowOff>
    </xdr:from>
    <xdr:to>
      <xdr:col>10</xdr:col>
      <xdr:colOff>0</xdr:colOff>
      <xdr:row>36</xdr:row>
      <xdr:rowOff>114300</xdr:rowOff>
    </xdr:to>
    <xdr:sp macro="" textlink="">
      <xdr:nvSpPr>
        <xdr:cNvPr id="24" name="Line 56"/>
        <xdr:cNvSpPr>
          <a:spLocks noChangeShapeType="1"/>
        </xdr:cNvSpPr>
      </xdr:nvSpPr>
      <xdr:spPr bwMode="auto">
        <a:xfrm>
          <a:off x="5905500" y="5943600"/>
          <a:ext cx="190500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</xdr:col>
      <xdr:colOff>19050</xdr:colOff>
      <xdr:row>37</xdr:row>
      <xdr:rowOff>9525</xdr:rowOff>
    </xdr:from>
    <xdr:to>
      <xdr:col>7</xdr:col>
      <xdr:colOff>219075</xdr:colOff>
      <xdr:row>37</xdr:row>
      <xdr:rowOff>142875</xdr:rowOff>
    </xdr:to>
    <xdr:sp macro="" textlink="">
      <xdr:nvSpPr>
        <xdr:cNvPr id="25" name="Freeform 57"/>
        <xdr:cNvSpPr>
          <a:spLocks/>
        </xdr:cNvSpPr>
      </xdr:nvSpPr>
      <xdr:spPr bwMode="auto">
        <a:xfrm>
          <a:off x="3067050" y="6000750"/>
          <a:ext cx="1419225" cy="133350"/>
        </a:xfrm>
        <a:custGeom>
          <a:avLst/>
          <a:gdLst>
            <a:gd name="T0" fmla="*/ 0 w 149"/>
            <a:gd name="T1" fmla="*/ 0 h 14"/>
            <a:gd name="T2" fmla="*/ 0 w 149"/>
            <a:gd name="T3" fmla="*/ 14 h 14"/>
            <a:gd name="T4" fmla="*/ 149 w 149"/>
            <a:gd name="T5" fmla="*/ 14 h 14"/>
          </a:gdLst>
          <a:ahLst/>
          <a:cxnLst>
            <a:cxn ang="0">
              <a:pos x="T0" y="T1"/>
            </a:cxn>
            <a:cxn ang="0">
              <a:pos x="T2" y="T3"/>
            </a:cxn>
            <a:cxn ang="0">
              <a:pos x="T4" y="T5"/>
            </a:cxn>
          </a:cxnLst>
          <a:rect l="0" t="0" r="r" b="b"/>
          <a:pathLst>
            <a:path w="149" h="14">
              <a:moveTo>
                <a:pt x="0" y="0"/>
              </a:moveTo>
              <a:lnTo>
                <a:pt x="0" y="14"/>
              </a:lnTo>
              <a:lnTo>
                <a:pt x="149" y="14"/>
              </a:lnTo>
            </a:path>
          </a:pathLst>
        </a:custGeom>
        <a:noFill/>
        <a:ln w="25400" cap="flat" cmpd="sng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</a:extLst>
      </xdr:spPr>
    </xdr:sp>
    <xdr:clientData/>
  </xdr:twoCellAnchor>
  <xdr:twoCellAnchor>
    <xdr:from>
      <xdr:col>7</xdr:col>
      <xdr:colOff>266700</xdr:colOff>
      <xdr:row>37</xdr:row>
      <xdr:rowOff>9525</xdr:rowOff>
    </xdr:from>
    <xdr:to>
      <xdr:col>7</xdr:col>
      <xdr:colOff>361950</xdr:colOff>
      <xdr:row>37</xdr:row>
      <xdr:rowOff>123825</xdr:rowOff>
    </xdr:to>
    <xdr:sp macro="" textlink="">
      <xdr:nvSpPr>
        <xdr:cNvPr id="26" name="Oval 58"/>
        <xdr:cNvSpPr>
          <a:spLocks noChangeArrowheads="1"/>
        </xdr:cNvSpPr>
      </xdr:nvSpPr>
      <xdr:spPr bwMode="auto">
        <a:xfrm>
          <a:off x="4533900" y="6000750"/>
          <a:ext cx="95250" cy="114300"/>
        </a:xfrm>
        <a:prstGeom prst="ellipse">
          <a:avLst/>
        </a:prstGeom>
        <a:solidFill>
          <a:srgbClr xmlns:mc="http://schemas.openxmlformats.org/markup-compatibility/2006" xmlns:a14="http://schemas.microsoft.com/office/drawing/2010/main" val="000000" mc:Ignorable="a14" a14:legacySpreadsheetColorIndex="8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</xdr:spPr>
    </xdr:sp>
    <xdr:clientData/>
  </xdr:twoCellAnchor>
  <xdr:twoCellAnchor>
    <xdr:from>
      <xdr:col>7</xdr:col>
      <xdr:colOff>390525</xdr:colOff>
      <xdr:row>37</xdr:row>
      <xdr:rowOff>19050</xdr:rowOff>
    </xdr:from>
    <xdr:to>
      <xdr:col>9</xdr:col>
      <xdr:colOff>590550</xdr:colOff>
      <xdr:row>37</xdr:row>
      <xdr:rowOff>142875</xdr:rowOff>
    </xdr:to>
    <xdr:sp macro="" textlink="">
      <xdr:nvSpPr>
        <xdr:cNvPr id="27" name="Freeform 59"/>
        <xdr:cNvSpPr>
          <a:spLocks/>
        </xdr:cNvSpPr>
      </xdr:nvSpPr>
      <xdr:spPr bwMode="auto">
        <a:xfrm>
          <a:off x="4657725" y="6010275"/>
          <a:ext cx="1419225" cy="123825"/>
        </a:xfrm>
        <a:custGeom>
          <a:avLst/>
          <a:gdLst>
            <a:gd name="T0" fmla="*/ 156 w 156"/>
            <a:gd name="T1" fmla="*/ 0 h 13"/>
            <a:gd name="T2" fmla="*/ 156 w 156"/>
            <a:gd name="T3" fmla="*/ 13 h 13"/>
            <a:gd name="T4" fmla="*/ 0 w 156"/>
            <a:gd name="T5" fmla="*/ 13 h 13"/>
          </a:gdLst>
          <a:ahLst/>
          <a:cxnLst>
            <a:cxn ang="0">
              <a:pos x="T0" y="T1"/>
            </a:cxn>
            <a:cxn ang="0">
              <a:pos x="T2" y="T3"/>
            </a:cxn>
            <a:cxn ang="0">
              <a:pos x="T4" y="T5"/>
            </a:cxn>
          </a:cxnLst>
          <a:rect l="0" t="0" r="r" b="b"/>
          <a:pathLst>
            <a:path w="156" h="13">
              <a:moveTo>
                <a:pt x="156" y="0"/>
              </a:moveTo>
              <a:lnTo>
                <a:pt x="156" y="13"/>
              </a:lnTo>
              <a:lnTo>
                <a:pt x="0" y="13"/>
              </a:lnTo>
            </a:path>
          </a:pathLst>
        </a:custGeom>
        <a:noFill/>
        <a:ln w="15875" cap="flat" cmpd="sng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</a:extLst>
      </xdr:spPr>
    </xdr:sp>
    <xdr:clientData/>
  </xdr:twoCellAnchor>
  <xdr:twoCellAnchor>
    <xdr:from>
      <xdr:col>5</xdr:col>
      <xdr:colOff>19050</xdr:colOff>
      <xdr:row>37</xdr:row>
      <xdr:rowOff>9525</xdr:rowOff>
    </xdr:from>
    <xdr:to>
      <xdr:col>7</xdr:col>
      <xdr:colOff>219075</xdr:colOff>
      <xdr:row>37</xdr:row>
      <xdr:rowOff>142875</xdr:rowOff>
    </xdr:to>
    <xdr:sp macro="" textlink="">
      <xdr:nvSpPr>
        <xdr:cNvPr id="28" name="Freeform 60"/>
        <xdr:cNvSpPr>
          <a:spLocks/>
        </xdr:cNvSpPr>
      </xdr:nvSpPr>
      <xdr:spPr bwMode="auto">
        <a:xfrm>
          <a:off x="3067050" y="6000750"/>
          <a:ext cx="1419225" cy="133350"/>
        </a:xfrm>
        <a:custGeom>
          <a:avLst/>
          <a:gdLst>
            <a:gd name="T0" fmla="*/ 0 w 149"/>
            <a:gd name="T1" fmla="*/ 0 h 14"/>
            <a:gd name="T2" fmla="*/ 0 w 149"/>
            <a:gd name="T3" fmla="*/ 14 h 14"/>
            <a:gd name="T4" fmla="*/ 149 w 149"/>
            <a:gd name="T5" fmla="*/ 14 h 14"/>
          </a:gdLst>
          <a:ahLst/>
          <a:cxnLst>
            <a:cxn ang="0">
              <a:pos x="T0" y="T1"/>
            </a:cxn>
            <a:cxn ang="0">
              <a:pos x="T2" y="T3"/>
            </a:cxn>
            <a:cxn ang="0">
              <a:pos x="T4" y="T5"/>
            </a:cxn>
          </a:cxnLst>
          <a:rect l="0" t="0" r="r" b="b"/>
          <a:pathLst>
            <a:path w="149" h="14">
              <a:moveTo>
                <a:pt x="0" y="0"/>
              </a:moveTo>
              <a:lnTo>
                <a:pt x="0" y="14"/>
              </a:lnTo>
              <a:lnTo>
                <a:pt x="149" y="14"/>
              </a:lnTo>
            </a:path>
          </a:pathLst>
        </a:custGeom>
        <a:noFill/>
        <a:ln w="15875" cap="flat" cmpd="sng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</a:extLst>
      </xdr:spPr>
    </xdr:sp>
    <xdr:clientData/>
  </xdr:twoCellAnchor>
  <xdr:twoCellAnchor>
    <xdr:from>
      <xdr:col>9</xdr:col>
      <xdr:colOff>409575</xdr:colOff>
      <xdr:row>37</xdr:row>
      <xdr:rowOff>76200</xdr:rowOff>
    </xdr:from>
    <xdr:to>
      <xdr:col>10</xdr:col>
      <xdr:colOff>438150</xdr:colOff>
      <xdr:row>37</xdr:row>
      <xdr:rowOff>104775</xdr:rowOff>
    </xdr:to>
    <xdr:sp macro="" textlink="">
      <xdr:nvSpPr>
        <xdr:cNvPr id="29" name="Line 61"/>
        <xdr:cNvSpPr>
          <a:spLocks noChangeShapeType="1"/>
        </xdr:cNvSpPr>
      </xdr:nvSpPr>
      <xdr:spPr bwMode="auto">
        <a:xfrm flipH="1" flipV="1">
          <a:off x="5895975" y="6067425"/>
          <a:ext cx="638175" cy="28575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</xdr:col>
      <xdr:colOff>161925</xdr:colOff>
      <xdr:row>37</xdr:row>
      <xdr:rowOff>142875</xdr:rowOff>
    </xdr:from>
    <xdr:to>
      <xdr:col>7</xdr:col>
      <xdr:colOff>457200</xdr:colOff>
      <xdr:row>38</xdr:row>
      <xdr:rowOff>38100</xdr:rowOff>
    </xdr:to>
    <xdr:sp macro="" textlink="">
      <xdr:nvSpPr>
        <xdr:cNvPr id="30" name="Rectangle 62"/>
        <xdr:cNvSpPr>
          <a:spLocks noChangeArrowheads="1"/>
        </xdr:cNvSpPr>
      </xdr:nvSpPr>
      <xdr:spPr bwMode="auto">
        <a:xfrm>
          <a:off x="4429125" y="6134100"/>
          <a:ext cx="295275" cy="5715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sp>
    <xdr:clientData/>
  </xdr:twoCellAnchor>
  <xdr:twoCellAnchor>
    <xdr:from>
      <xdr:col>7</xdr:col>
      <xdr:colOff>209550</xdr:colOff>
      <xdr:row>37</xdr:row>
      <xdr:rowOff>142875</xdr:rowOff>
    </xdr:from>
    <xdr:to>
      <xdr:col>7</xdr:col>
      <xdr:colOff>209550</xdr:colOff>
      <xdr:row>38</xdr:row>
      <xdr:rowOff>57150</xdr:rowOff>
    </xdr:to>
    <xdr:sp macro="" textlink="">
      <xdr:nvSpPr>
        <xdr:cNvPr id="31" name="Line 63"/>
        <xdr:cNvSpPr>
          <a:spLocks noChangeShapeType="1"/>
        </xdr:cNvSpPr>
      </xdr:nvSpPr>
      <xdr:spPr bwMode="auto">
        <a:xfrm flipH="1" flipV="1">
          <a:off x="4476750" y="6134100"/>
          <a:ext cx="0" cy="76200"/>
        </a:xfrm>
        <a:prstGeom prst="line">
          <a:avLst/>
        </a:prstGeom>
        <a:noFill/>
        <a:ln w="1587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</xdr:col>
      <xdr:colOff>409575</xdr:colOff>
      <xdr:row>37</xdr:row>
      <xdr:rowOff>152400</xdr:rowOff>
    </xdr:from>
    <xdr:to>
      <xdr:col>7</xdr:col>
      <xdr:colOff>409575</xdr:colOff>
      <xdr:row>38</xdr:row>
      <xdr:rowOff>66675</xdr:rowOff>
    </xdr:to>
    <xdr:sp macro="" textlink="">
      <xdr:nvSpPr>
        <xdr:cNvPr id="32" name="Line 64"/>
        <xdr:cNvSpPr>
          <a:spLocks noChangeShapeType="1"/>
        </xdr:cNvSpPr>
      </xdr:nvSpPr>
      <xdr:spPr bwMode="auto">
        <a:xfrm flipV="1">
          <a:off x="4676775" y="6143625"/>
          <a:ext cx="0" cy="76200"/>
        </a:xfrm>
        <a:prstGeom prst="line">
          <a:avLst/>
        </a:prstGeom>
        <a:noFill/>
        <a:ln w="19050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</xdr:col>
      <xdr:colOff>266700</xdr:colOff>
      <xdr:row>37</xdr:row>
      <xdr:rowOff>9525</xdr:rowOff>
    </xdr:from>
    <xdr:to>
      <xdr:col>7</xdr:col>
      <xdr:colOff>361950</xdr:colOff>
      <xdr:row>37</xdr:row>
      <xdr:rowOff>123825</xdr:rowOff>
    </xdr:to>
    <xdr:sp macro="" textlink="">
      <xdr:nvSpPr>
        <xdr:cNvPr id="33" name="Oval 65"/>
        <xdr:cNvSpPr>
          <a:spLocks noChangeArrowheads="1"/>
        </xdr:cNvSpPr>
      </xdr:nvSpPr>
      <xdr:spPr bwMode="auto">
        <a:xfrm>
          <a:off x="4533900" y="6000750"/>
          <a:ext cx="95250" cy="114300"/>
        </a:xfrm>
        <a:prstGeom prst="ellipse">
          <a:avLst/>
        </a:prstGeom>
        <a:solidFill>
          <a:srgbClr xmlns:mc="http://schemas.openxmlformats.org/markup-compatibility/2006" xmlns:a14="http://schemas.microsoft.com/office/drawing/2010/main" val="000000" mc:Ignorable="a14" a14:legacySpreadsheetColorIndex="8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</xdr:spPr>
    </xdr:sp>
    <xdr:clientData/>
  </xdr:twoCellAnchor>
  <xdr:twoCellAnchor>
    <xdr:from>
      <xdr:col>7</xdr:col>
      <xdr:colOff>390525</xdr:colOff>
      <xdr:row>37</xdr:row>
      <xdr:rowOff>19050</xdr:rowOff>
    </xdr:from>
    <xdr:to>
      <xdr:col>9</xdr:col>
      <xdr:colOff>590550</xdr:colOff>
      <xdr:row>37</xdr:row>
      <xdr:rowOff>142875</xdr:rowOff>
    </xdr:to>
    <xdr:sp macro="" textlink="">
      <xdr:nvSpPr>
        <xdr:cNvPr id="34" name="Freeform 66"/>
        <xdr:cNvSpPr>
          <a:spLocks/>
        </xdr:cNvSpPr>
      </xdr:nvSpPr>
      <xdr:spPr bwMode="auto">
        <a:xfrm>
          <a:off x="4657725" y="6010275"/>
          <a:ext cx="1419225" cy="123825"/>
        </a:xfrm>
        <a:custGeom>
          <a:avLst/>
          <a:gdLst>
            <a:gd name="T0" fmla="*/ 156 w 156"/>
            <a:gd name="T1" fmla="*/ 0 h 13"/>
            <a:gd name="T2" fmla="*/ 156 w 156"/>
            <a:gd name="T3" fmla="*/ 13 h 13"/>
            <a:gd name="T4" fmla="*/ 0 w 156"/>
            <a:gd name="T5" fmla="*/ 13 h 13"/>
          </a:gdLst>
          <a:ahLst/>
          <a:cxnLst>
            <a:cxn ang="0">
              <a:pos x="T0" y="T1"/>
            </a:cxn>
            <a:cxn ang="0">
              <a:pos x="T2" y="T3"/>
            </a:cxn>
            <a:cxn ang="0">
              <a:pos x="T4" y="T5"/>
            </a:cxn>
          </a:cxnLst>
          <a:rect l="0" t="0" r="r" b="b"/>
          <a:pathLst>
            <a:path w="156" h="13">
              <a:moveTo>
                <a:pt x="156" y="0"/>
              </a:moveTo>
              <a:lnTo>
                <a:pt x="156" y="13"/>
              </a:lnTo>
              <a:lnTo>
                <a:pt x="0" y="13"/>
              </a:lnTo>
            </a:path>
          </a:pathLst>
        </a:custGeom>
        <a:noFill/>
        <a:ln w="25400" cap="flat" cmpd="sng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</a:extLst>
      </xdr:spPr>
    </xdr:sp>
    <xdr:clientData/>
  </xdr:twoCellAnchor>
  <xdr:twoCellAnchor>
    <xdr:from>
      <xdr:col>5</xdr:col>
      <xdr:colOff>19050</xdr:colOff>
      <xdr:row>37</xdr:row>
      <xdr:rowOff>9525</xdr:rowOff>
    </xdr:from>
    <xdr:to>
      <xdr:col>7</xdr:col>
      <xdr:colOff>219075</xdr:colOff>
      <xdr:row>37</xdr:row>
      <xdr:rowOff>142875</xdr:rowOff>
    </xdr:to>
    <xdr:sp macro="" textlink="">
      <xdr:nvSpPr>
        <xdr:cNvPr id="35" name="Freeform 67"/>
        <xdr:cNvSpPr>
          <a:spLocks/>
        </xdr:cNvSpPr>
      </xdr:nvSpPr>
      <xdr:spPr bwMode="auto">
        <a:xfrm>
          <a:off x="3067050" y="6000750"/>
          <a:ext cx="1419225" cy="133350"/>
        </a:xfrm>
        <a:custGeom>
          <a:avLst/>
          <a:gdLst>
            <a:gd name="T0" fmla="*/ 0 w 149"/>
            <a:gd name="T1" fmla="*/ 0 h 14"/>
            <a:gd name="T2" fmla="*/ 0 w 149"/>
            <a:gd name="T3" fmla="*/ 14 h 14"/>
            <a:gd name="T4" fmla="*/ 149 w 149"/>
            <a:gd name="T5" fmla="*/ 14 h 14"/>
          </a:gdLst>
          <a:ahLst/>
          <a:cxnLst>
            <a:cxn ang="0">
              <a:pos x="T0" y="T1"/>
            </a:cxn>
            <a:cxn ang="0">
              <a:pos x="T2" y="T3"/>
            </a:cxn>
            <a:cxn ang="0">
              <a:pos x="T4" y="T5"/>
            </a:cxn>
          </a:cxnLst>
          <a:rect l="0" t="0" r="r" b="b"/>
          <a:pathLst>
            <a:path w="149" h="14">
              <a:moveTo>
                <a:pt x="0" y="0"/>
              </a:moveTo>
              <a:lnTo>
                <a:pt x="0" y="14"/>
              </a:lnTo>
              <a:lnTo>
                <a:pt x="149" y="14"/>
              </a:lnTo>
            </a:path>
          </a:pathLst>
        </a:custGeom>
        <a:noFill/>
        <a:ln w="25400" cap="flat" cmpd="sng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</a:extLst>
      </xdr:spPr>
    </xdr:sp>
    <xdr:clientData/>
  </xdr:twoCellAnchor>
  <xdr:twoCellAnchor>
    <xdr:from>
      <xdr:col>9</xdr:col>
      <xdr:colOff>409575</xdr:colOff>
      <xdr:row>37</xdr:row>
      <xdr:rowOff>76200</xdr:rowOff>
    </xdr:from>
    <xdr:to>
      <xdr:col>10</xdr:col>
      <xdr:colOff>438150</xdr:colOff>
      <xdr:row>37</xdr:row>
      <xdr:rowOff>104775</xdr:rowOff>
    </xdr:to>
    <xdr:sp macro="" textlink="">
      <xdr:nvSpPr>
        <xdr:cNvPr id="36" name="Line 68"/>
        <xdr:cNvSpPr>
          <a:spLocks noChangeShapeType="1"/>
        </xdr:cNvSpPr>
      </xdr:nvSpPr>
      <xdr:spPr bwMode="auto">
        <a:xfrm flipH="1" flipV="1">
          <a:off x="5895975" y="6067425"/>
          <a:ext cx="638175" cy="28575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</xdr:col>
      <xdr:colOff>161925</xdr:colOff>
      <xdr:row>37</xdr:row>
      <xdr:rowOff>142875</xdr:rowOff>
    </xdr:from>
    <xdr:to>
      <xdr:col>7</xdr:col>
      <xdr:colOff>457200</xdr:colOff>
      <xdr:row>38</xdr:row>
      <xdr:rowOff>38100</xdr:rowOff>
    </xdr:to>
    <xdr:sp macro="" textlink="">
      <xdr:nvSpPr>
        <xdr:cNvPr id="37" name="Rectangle 69"/>
        <xdr:cNvSpPr>
          <a:spLocks noChangeArrowheads="1"/>
        </xdr:cNvSpPr>
      </xdr:nvSpPr>
      <xdr:spPr bwMode="auto">
        <a:xfrm>
          <a:off x="4429125" y="6134100"/>
          <a:ext cx="295275" cy="5715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sp>
    <xdr:clientData/>
  </xdr:twoCellAnchor>
  <xdr:twoCellAnchor>
    <xdr:from>
      <xdr:col>7</xdr:col>
      <xdr:colOff>209550</xdr:colOff>
      <xdr:row>37</xdr:row>
      <xdr:rowOff>142875</xdr:rowOff>
    </xdr:from>
    <xdr:to>
      <xdr:col>7</xdr:col>
      <xdr:colOff>209550</xdr:colOff>
      <xdr:row>38</xdr:row>
      <xdr:rowOff>57150</xdr:rowOff>
    </xdr:to>
    <xdr:sp macro="" textlink="">
      <xdr:nvSpPr>
        <xdr:cNvPr id="38" name="Line 70"/>
        <xdr:cNvSpPr>
          <a:spLocks noChangeShapeType="1"/>
        </xdr:cNvSpPr>
      </xdr:nvSpPr>
      <xdr:spPr bwMode="auto">
        <a:xfrm flipH="1" flipV="1">
          <a:off x="4476750" y="6134100"/>
          <a:ext cx="0" cy="76200"/>
        </a:xfrm>
        <a:prstGeom prst="line">
          <a:avLst/>
        </a:prstGeom>
        <a:noFill/>
        <a:ln w="1587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</xdr:col>
      <xdr:colOff>409575</xdr:colOff>
      <xdr:row>37</xdr:row>
      <xdr:rowOff>152400</xdr:rowOff>
    </xdr:from>
    <xdr:to>
      <xdr:col>7</xdr:col>
      <xdr:colOff>409575</xdr:colOff>
      <xdr:row>38</xdr:row>
      <xdr:rowOff>66675</xdr:rowOff>
    </xdr:to>
    <xdr:sp macro="" textlink="">
      <xdr:nvSpPr>
        <xdr:cNvPr id="39" name="Line 71"/>
        <xdr:cNvSpPr>
          <a:spLocks noChangeShapeType="1"/>
        </xdr:cNvSpPr>
      </xdr:nvSpPr>
      <xdr:spPr bwMode="auto">
        <a:xfrm flipV="1">
          <a:off x="4676775" y="6143625"/>
          <a:ext cx="0" cy="76200"/>
        </a:xfrm>
        <a:prstGeom prst="line">
          <a:avLst/>
        </a:prstGeom>
        <a:noFill/>
        <a:ln w="19050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13</xdr:col>
      <xdr:colOff>0</xdr:colOff>
      <xdr:row>25</xdr:row>
      <xdr:rowOff>9525</xdr:rowOff>
    </xdr:from>
    <xdr:to>
      <xdr:col>13</xdr:col>
      <xdr:colOff>0</xdr:colOff>
      <xdr:row>39</xdr:row>
      <xdr:rowOff>161925</xdr:rowOff>
    </xdr:to>
    <xdr:sp macro="" textlink="">
      <xdr:nvSpPr>
        <xdr:cNvPr id="40" name="Line 72"/>
        <xdr:cNvSpPr>
          <a:spLocks noChangeShapeType="1"/>
        </xdr:cNvSpPr>
      </xdr:nvSpPr>
      <xdr:spPr bwMode="auto">
        <a:xfrm flipV="1">
          <a:off x="7924800" y="4057650"/>
          <a:ext cx="0" cy="241935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</xdr:col>
      <xdr:colOff>257175</xdr:colOff>
      <xdr:row>29</xdr:row>
      <xdr:rowOff>0</xdr:rowOff>
    </xdr:from>
    <xdr:to>
      <xdr:col>11</xdr:col>
      <xdr:colOff>285750</xdr:colOff>
      <xdr:row>30</xdr:row>
      <xdr:rowOff>171450</xdr:rowOff>
    </xdr:to>
    <xdr:sp macro="" textlink="">
      <xdr:nvSpPr>
        <xdr:cNvPr id="41" name="Line 74"/>
        <xdr:cNvSpPr>
          <a:spLocks noChangeShapeType="1"/>
        </xdr:cNvSpPr>
      </xdr:nvSpPr>
      <xdr:spPr bwMode="auto">
        <a:xfrm flipH="1">
          <a:off x="6353175" y="4695825"/>
          <a:ext cx="638175" cy="32385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11</xdr:col>
      <xdr:colOff>257175</xdr:colOff>
      <xdr:row>28</xdr:row>
      <xdr:rowOff>152400</xdr:rowOff>
    </xdr:from>
    <xdr:to>
      <xdr:col>12</xdr:col>
      <xdr:colOff>285750</xdr:colOff>
      <xdr:row>30</xdr:row>
      <xdr:rowOff>161925</xdr:rowOff>
    </xdr:to>
    <xdr:sp macro="" textlink="">
      <xdr:nvSpPr>
        <xdr:cNvPr id="42" name="Line 75"/>
        <xdr:cNvSpPr>
          <a:spLocks noChangeShapeType="1"/>
        </xdr:cNvSpPr>
      </xdr:nvSpPr>
      <xdr:spPr bwMode="auto">
        <a:xfrm flipH="1">
          <a:off x="6962775" y="4686300"/>
          <a:ext cx="638175" cy="333375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16</xdr:col>
      <xdr:colOff>257175</xdr:colOff>
      <xdr:row>25</xdr:row>
      <xdr:rowOff>152400</xdr:rowOff>
    </xdr:from>
    <xdr:to>
      <xdr:col>16</xdr:col>
      <xdr:colOff>257175</xdr:colOff>
      <xdr:row>37</xdr:row>
      <xdr:rowOff>171450</xdr:rowOff>
    </xdr:to>
    <xdr:sp macro="" textlink="">
      <xdr:nvSpPr>
        <xdr:cNvPr id="43" name="Line 76"/>
        <xdr:cNvSpPr>
          <a:spLocks noChangeShapeType="1"/>
        </xdr:cNvSpPr>
      </xdr:nvSpPr>
      <xdr:spPr bwMode="auto">
        <a:xfrm flipV="1">
          <a:off x="10010775" y="4200525"/>
          <a:ext cx="0" cy="1952625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285750</xdr:colOff>
      <xdr:row>28</xdr:row>
      <xdr:rowOff>9525</xdr:rowOff>
    </xdr:from>
    <xdr:to>
      <xdr:col>5</xdr:col>
      <xdr:colOff>314325</xdr:colOff>
      <xdr:row>30</xdr:row>
      <xdr:rowOff>0</xdr:rowOff>
    </xdr:to>
    <xdr:sp macro="" textlink="">
      <xdr:nvSpPr>
        <xdr:cNvPr id="2" name="Line 1"/>
        <xdr:cNvSpPr>
          <a:spLocks noChangeShapeType="1"/>
        </xdr:cNvSpPr>
      </xdr:nvSpPr>
      <xdr:spPr bwMode="auto">
        <a:xfrm flipH="1">
          <a:off x="2724150" y="4543425"/>
          <a:ext cx="638175" cy="314325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</xdr:col>
      <xdr:colOff>285750</xdr:colOff>
      <xdr:row>39</xdr:row>
      <xdr:rowOff>95250</xdr:rowOff>
    </xdr:from>
    <xdr:to>
      <xdr:col>6</xdr:col>
      <xdr:colOff>171450</xdr:colOff>
      <xdr:row>39</xdr:row>
      <xdr:rowOff>95250</xdr:rowOff>
    </xdr:to>
    <xdr:sp macro="" textlink="">
      <xdr:nvSpPr>
        <xdr:cNvPr id="3" name="Line 6"/>
        <xdr:cNvSpPr>
          <a:spLocks noChangeShapeType="1"/>
        </xdr:cNvSpPr>
      </xdr:nvSpPr>
      <xdr:spPr bwMode="auto">
        <a:xfrm flipH="1">
          <a:off x="3333750" y="6410325"/>
          <a:ext cx="495300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</xdr:col>
      <xdr:colOff>485775</xdr:colOff>
      <xdr:row>39</xdr:row>
      <xdr:rowOff>9525</xdr:rowOff>
    </xdr:from>
    <xdr:to>
      <xdr:col>5</xdr:col>
      <xdr:colOff>485775</xdr:colOff>
      <xdr:row>39</xdr:row>
      <xdr:rowOff>95250</xdr:rowOff>
    </xdr:to>
    <xdr:sp macro="" textlink="">
      <xdr:nvSpPr>
        <xdr:cNvPr id="4" name="Line 7"/>
        <xdr:cNvSpPr>
          <a:spLocks noChangeShapeType="1"/>
        </xdr:cNvSpPr>
      </xdr:nvSpPr>
      <xdr:spPr bwMode="auto">
        <a:xfrm>
          <a:off x="3533775" y="6324600"/>
          <a:ext cx="0" cy="85725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</xdr:col>
      <xdr:colOff>161925</xdr:colOff>
      <xdr:row>39</xdr:row>
      <xdr:rowOff>38100</xdr:rowOff>
    </xdr:from>
    <xdr:to>
      <xdr:col>6</xdr:col>
      <xdr:colOff>161925</xdr:colOff>
      <xdr:row>39</xdr:row>
      <xdr:rowOff>161925</xdr:rowOff>
    </xdr:to>
    <xdr:sp macro="" textlink="">
      <xdr:nvSpPr>
        <xdr:cNvPr id="5" name="Line 8"/>
        <xdr:cNvSpPr>
          <a:spLocks noChangeShapeType="1"/>
        </xdr:cNvSpPr>
      </xdr:nvSpPr>
      <xdr:spPr bwMode="auto">
        <a:xfrm>
          <a:off x="3819525" y="6353175"/>
          <a:ext cx="0" cy="123825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</xdr:col>
      <xdr:colOff>200025</xdr:colOff>
      <xdr:row>39</xdr:row>
      <xdr:rowOff>38100</xdr:rowOff>
    </xdr:from>
    <xdr:to>
      <xdr:col>6</xdr:col>
      <xdr:colOff>200025</xdr:colOff>
      <xdr:row>39</xdr:row>
      <xdr:rowOff>161925</xdr:rowOff>
    </xdr:to>
    <xdr:sp macro="" textlink="">
      <xdr:nvSpPr>
        <xdr:cNvPr id="6" name="Line 9"/>
        <xdr:cNvSpPr>
          <a:spLocks noChangeShapeType="1"/>
        </xdr:cNvSpPr>
      </xdr:nvSpPr>
      <xdr:spPr bwMode="auto">
        <a:xfrm>
          <a:off x="3857625" y="6353175"/>
          <a:ext cx="0" cy="123825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</xdr:col>
      <xdr:colOff>95250</xdr:colOff>
      <xdr:row>39</xdr:row>
      <xdr:rowOff>47625</xdr:rowOff>
    </xdr:from>
    <xdr:to>
      <xdr:col>6</xdr:col>
      <xdr:colOff>266700</xdr:colOff>
      <xdr:row>39</xdr:row>
      <xdr:rowOff>152400</xdr:rowOff>
    </xdr:to>
    <xdr:sp macro="" textlink="">
      <xdr:nvSpPr>
        <xdr:cNvPr id="7" name="Line 10"/>
        <xdr:cNvSpPr>
          <a:spLocks noChangeShapeType="1"/>
        </xdr:cNvSpPr>
      </xdr:nvSpPr>
      <xdr:spPr bwMode="auto">
        <a:xfrm flipH="1">
          <a:off x="3752850" y="6362700"/>
          <a:ext cx="171450" cy="104775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</xdr:col>
      <xdr:colOff>209550</xdr:colOff>
      <xdr:row>39</xdr:row>
      <xdr:rowOff>95250</xdr:rowOff>
    </xdr:from>
    <xdr:to>
      <xdr:col>6</xdr:col>
      <xdr:colOff>304800</xdr:colOff>
      <xdr:row>40</xdr:row>
      <xdr:rowOff>38100</xdr:rowOff>
    </xdr:to>
    <xdr:sp macro="" textlink="">
      <xdr:nvSpPr>
        <xdr:cNvPr id="8" name="Line 11"/>
        <xdr:cNvSpPr>
          <a:spLocks noChangeShapeType="1"/>
        </xdr:cNvSpPr>
      </xdr:nvSpPr>
      <xdr:spPr bwMode="auto">
        <a:xfrm>
          <a:off x="3867150" y="6410325"/>
          <a:ext cx="95250" cy="104775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</xdr:col>
      <xdr:colOff>285750</xdr:colOff>
      <xdr:row>39</xdr:row>
      <xdr:rowOff>142875</xdr:rowOff>
    </xdr:from>
    <xdr:to>
      <xdr:col>6</xdr:col>
      <xdr:colOff>295275</xdr:colOff>
      <xdr:row>40</xdr:row>
      <xdr:rowOff>19050</xdr:rowOff>
    </xdr:to>
    <xdr:sp macro="" textlink="">
      <xdr:nvSpPr>
        <xdr:cNvPr id="9" name="Oval 12"/>
        <xdr:cNvSpPr>
          <a:spLocks noChangeArrowheads="1"/>
        </xdr:cNvSpPr>
      </xdr:nvSpPr>
      <xdr:spPr bwMode="auto">
        <a:xfrm>
          <a:off x="3943350" y="6457950"/>
          <a:ext cx="9525" cy="38100"/>
        </a:xfrm>
        <a:prstGeom prst="ellipse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</xdr:spPr>
    </xdr:sp>
    <xdr:clientData/>
  </xdr:twoCellAnchor>
  <xdr:twoCellAnchor>
    <xdr:from>
      <xdr:col>6</xdr:col>
      <xdr:colOff>257175</xdr:colOff>
      <xdr:row>39</xdr:row>
      <xdr:rowOff>123825</xdr:rowOff>
    </xdr:from>
    <xdr:to>
      <xdr:col>6</xdr:col>
      <xdr:colOff>342900</xdr:colOff>
      <xdr:row>40</xdr:row>
      <xdr:rowOff>47625</xdr:rowOff>
    </xdr:to>
    <xdr:sp macro="" textlink="">
      <xdr:nvSpPr>
        <xdr:cNvPr id="10" name="Oval 13"/>
        <xdr:cNvSpPr>
          <a:spLocks noChangeArrowheads="1"/>
        </xdr:cNvSpPr>
      </xdr:nvSpPr>
      <xdr:spPr bwMode="auto">
        <a:xfrm>
          <a:off x="3914775" y="6438900"/>
          <a:ext cx="85725" cy="85725"/>
        </a:xfrm>
        <a:prstGeom prst="ellipse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</xdr:spPr>
    </xdr:sp>
    <xdr:clientData/>
  </xdr:twoCellAnchor>
  <xdr:twoCellAnchor>
    <xdr:from>
      <xdr:col>6</xdr:col>
      <xdr:colOff>209550</xdr:colOff>
      <xdr:row>39</xdr:row>
      <xdr:rowOff>104775</xdr:rowOff>
    </xdr:from>
    <xdr:to>
      <xdr:col>6</xdr:col>
      <xdr:colOff>304800</xdr:colOff>
      <xdr:row>40</xdr:row>
      <xdr:rowOff>0</xdr:rowOff>
    </xdr:to>
    <xdr:sp macro="" textlink="">
      <xdr:nvSpPr>
        <xdr:cNvPr id="11" name="Line 14"/>
        <xdr:cNvSpPr>
          <a:spLocks noChangeShapeType="1"/>
        </xdr:cNvSpPr>
      </xdr:nvSpPr>
      <xdr:spPr bwMode="auto">
        <a:xfrm>
          <a:off x="3867150" y="6419850"/>
          <a:ext cx="95250" cy="5715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</xdr:col>
      <xdr:colOff>219075</xdr:colOff>
      <xdr:row>39</xdr:row>
      <xdr:rowOff>114300</xdr:rowOff>
    </xdr:from>
    <xdr:to>
      <xdr:col>6</xdr:col>
      <xdr:colOff>295275</xdr:colOff>
      <xdr:row>40</xdr:row>
      <xdr:rowOff>9525</xdr:rowOff>
    </xdr:to>
    <xdr:sp macro="" textlink="">
      <xdr:nvSpPr>
        <xdr:cNvPr id="12" name="Line 15"/>
        <xdr:cNvSpPr>
          <a:spLocks noChangeShapeType="1"/>
        </xdr:cNvSpPr>
      </xdr:nvSpPr>
      <xdr:spPr bwMode="auto">
        <a:xfrm flipH="1" flipV="1">
          <a:off x="3876675" y="6429375"/>
          <a:ext cx="76200" cy="5715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</xdr:col>
      <xdr:colOff>295275</xdr:colOff>
      <xdr:row>39</xdr:row>
      <xdr:rowOff>0</xdr:rowOff>
    </xdr:from>
    <xdr:to>
      <xdr:col>6</xdr:col>
      <xdr:colOff>304800</xdr:colOff>
      <xdr:row>39</xdr:row>
      <xdr:rowOff>123825</xdr:rowOff>
    </xdr:to>
    <xdr:sp macro="" textlink="">
      <xdr:nvSpPr>
        <xdr:cNvPr id="13" name="Line 16"/>
        <xdr:cNvSpPr>
          <a:spLocks noChangeShapeType="1"/>
        </xdr:cNvSpPr>
      </xdr:nvSpPr>
      <xdr:spPr bwMode="auto">
        <a:xfrm flipH="1">
          <a:off x="3952875" y="6315075"/>
          <a:ext cx="9525" cy="123825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</xdr:col>
      <xdr:colOff>295275</xdr:colOff>
      <xdr:row>40</xdr:row>
      <xdr:rowOff>57150</xdr:rowOff>
    </xdr:from>
    <xdr:to>
      <xdr:col>7</xdr:col>
      <xdr:colOff>152400</xdr:colOff>
      <xdr:row>41</xdr:row>
      <xdr:rowOff>28575</xdr:rowOff>
    </xdr:to>
    <xdr:sp macro="" textlink="">
      <xdr:nvSpPr>
        <xdr:cNvPr id="14" name="Line 17"/>
        <xdr:cNvSpPr>
          <a:spLocks noChangeShapeType="1"/>
        </xdr:cNvSpPr>
      </xdr:nvSpPr>
      <xdr:spPr bwMode="auto">
        <a:xfrm>
          <a:off x="3952875" y="6534150"/>
          <a:ext cx="466725" cy="13335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</xdr:col>
      <xdr:colOff>342900</xdr:colOff>
      <xdr:row>39</xdr:row>
      <xdr:rowOff>152400</xdr:rowOff>
    </xdr:from>
    <xdr:to>
      <xdr:col>7</xdr:col>
      <xdr:colOff>228600</xdr:colOff>
      <xdr:row>41</xdr:row>
      <xdr:rowOff>0</xdr:rowOff>
    </xdr:to>
    <xdr:sp macro="" textlink="">
      <xdr:nvSpPr>
        <xdr:cNvPr id="15" name="Line 18"/>
        <xdr:cNvSpPr>
          <a:spLocks noChangeShapeType="1"/>
        </xdr:cNvSpPr>
      </xdr:nvSpPr>
      <xdr:spPr bwMode="auto">
        <a:xfrm>
          <a:off x="4000500" y="6467475"/>
          <a:ext cx="495300" cy="17145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</xdr:col>
      <xdr:colOff>304800</xdr:colOff>
      <xdr:row>39</xdr:row>
      <xdr:rowOff>114300</xdr:rowOff>
    </xdr:from>
    <xdr:to>
      <xdr:col>6</xdr:col>
      <xdr:colOff>161925</xdr:colOff>
      <xdr:row>39</xdr:row>
      <xdr:rowOff>114300</xdr:rowOff>
    </xdr:to>
    <xdr:sp macro="" textlink="">
      <xdr:nvSpPr>
        <xdr:cNvPr id="16" name="Line 19"/>
        <xdr:cNvSpPr>
          <a:spLocks noChangeShapeType="1"/>
        </xdr:cNvSpPr>
      </xdr:nvSpPr>
      <xdr:spPr bwMode="auto">
        <a:xfrm>
          <a:off x="3352800" y="6429375"/>
          <a:ext cx="466725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</xdr:col>
      <xdr:colOff>295275</xdr:colOff>
      <xdr:row>39</xdr:row>
      <xdr:rowOff>19050</xdr:rowOff>
    </xdr:from>
    <xdr:to>
      <xdr:col>6</xdr:col>
      <xdr:colOff>295275</xdr:colOff>
      <xdr:row>39</xdr:row>
      <xdr:rowOff>114300</xdr:rowOff>
    </xdr:to>
    <xdr:sp macro="" textlink="">
      <xdr:nvSpPr>
        <xdr:cNvPr id="17" name="Line 20"/>
        <xdr:cNvSpPr>
          <a:spLocks noChangeShapeType="1"/>
        </xdr:cNvSpPr>
      </xdr:nvSpPr>
      <xdr:spPr bwMode="auto">
        <a:xfrm>
          <a:off x="3952875" y="6334125"/>
          <a:ext cx="0" cy="9525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</xdr:col>
      <xdr:colOff>266700</xdr:colOff>
      <xdr:row>38</xdr:row>
      <xdr:rowOff>104775</xdr:rowOff>
    </xdr:from>
    <xdr:to>
      <xdr:col>6</xdr:col>
      <xdr:colOff>361950</xdr:colOff>
      <xdr:row>39</xdr:row>
      <xdr:rowOff>47625</xdr:rowOff>
    </xdr:to>
    <xdr:sp macro="" textlink="">
      <xdr:nvSpPr>
        <xdr:cNvPr id="18" name="Oval 21"/>
        <xdr:cNvSpPr>
          <a:spLocks noChangeArrowheads="1"/>
        </xdr:cNvSpPr>
      </xdr:nvSpPr>
      <xdr:spPr bwMode="auto">
        <a:xfrm>
          <a:off x="3924300" y="6257925"/>
          <a:ext cx="95250" cy="104775"/>
        </a:xfrm>
        <a:prstGeom prst="ellipse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</xdr:spPr>
    </xdr:sp>
    <xdr:clientData/>
  </xdr:twoCellAnchor>
  <xdr:twoCellAnchor>
    <xdr:from>
      <xdr:col>5</xdr:col>
      <xdr:colOff>504825</xdr:colOff>
      <xdr:row>39</xdr:row>
      <xdr:rowOff>0</xdr:rowOff>
    </xdr:from>
    <xdr:to>
      <xdr:col>5</xdr:col>
      <xdr:colOff>504825</xdr:colOff>
      <xdr:row>39</xdr:row>
      <xdr:rowOff>104775</xdr:rowOff>
    </xdr:to>
    <xdr:sp macro="" textlink="">
      <xdr:nvSpPr>
        <xdr:cNvPr id="19" name="Line 22"/>
        <xdr:cNvSpPr>
          <a:spLocks noChangeShapeType="1"/>
        </xdr:cNvSpPr>
      </xdr:nvSpPr>
      <xdr:spPr bwMode="auto">
        <a:xfrm>
          <a:off x="3552825" y="6315075"/>
          <a:ext cx="0" cy="104775"/>
        </a:xfrm>
        <a:prstGeom prst="line">
          <a:avLst/>
        </a:prstGeom>
        <a:noFill/>
        <a:ln w="2857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</xdr:col>
      <xdr:colOff>295275</xdr:colOff>
      <xdr:row>39</xdr:row>
      <xdr:rowOff>104775</xdr:rowOff>
    </xdr:from>
    <xdr:to>
      <xdr:col>6</xdr:col>
      <xdr:colOff>161925</xdr:colOff>
      <xdr:row>39</xdr:row>
      <xdr:rowOff>104775</xdr:rowOff>
    </xdr:to>
    <xdr:sp macro="" textlink="">
      <xdr:nvSpPr>
        <xdr:cNvPr id="20" name="Line 23"/>
        <xdr:cNvSpPr>
          <a:spLocks noChangeShapeType="1"/>
        </xdr:cNvSpPr>
      </xdr:nvSpPr>
      <xdr:spPr bwMode="auto">
        <a:xfrm>
          <a:off x="3343275" y="6419850"/>
          <a:ext cx="476250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</xdr:col>
      <xdr:colOff>276225</xdr:colOff>
      <xdr:row>39</xdr:row>
      <xdr:rowOff>57150</xdr:rowOff>
    </xdr:from>
    <xdr:to>
      <xdr:col>5</xdr:col>
      <xdr:colOff>371475</xdr:colOff>
      <xdr:row>40</xdr:row>
      <xdr:rowOff>85725</xdr:rowOff>
    </xdr:to>
    <xdr:sp macro="" textlink="">
      <xdr:nvSpPr>
        <xdr:cNvPr id="21" name="Line 24"/>
        <xdr:cNvSpPr>
          <a:spLocks noChangeShapeType="1"/>
        </xdr:cNvSpPr>
      </xdr:nvSpPr>
      <xdr:spPr bwMode="auto">
        <a:xfrm flipH="1">
          <a:off x="3324225" y="6372225"/>
          <a:ext cx="95250" cy="19050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</xdr:col>
      <xdr:colOff>371475</xdr:colOff>
      <xdr:row>39</xdr:row>
      <xdr:rowOff>161925</xdr:rowOff>
    </xdr:from>
    <xdr:to>
      <xdr:col>5</xdr:col>
      <xdr:colOff>504825</xdr:colOff>
      <xdr:row>41</xdr:row>
      <xdr:rowOff>104775</xdr:rowOff>
    </xdr:to>
    <xdr:sp macro="" textlink="">
      <xdr:nvSpPr>
        <xdr:cNvPr id="22" name="Line 25"/>
        <xdr:cNvSpPr>
          <a:spLocks noChangeShapeType="1"/>
        </xdr:cNvSpPr>
      </xdr:nvSpPr>
      <xdr:spPr bwMode="auto">
        <a:xfrm flipH="1">
          <a:off x="3419475" y="6477000"/>
          <a:ext cx="133350" cy="26670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</xdr:col>
      <xdr:colOff>552450</xdr:colOff>
      <xdr:row>40</xdr:row>
      <xdr:rowOff>28575</xdr:rowOff>
    </xdr:from>
    <xdr:to>
      <xdr:col>6</xdr:col>
      <xdr:colOff>161925</xdr:colOff>
      <xdr:row>42</xdr:row>
      <xdr:rowOff>9525</xdr:rowOff>
    </xdr:to>
    <xdr:sp macro="" textlink="">
      <xdr:nvSpPr>
        <xdr:cNvPr id="23" name="Line 26"/>
        <xdr:cNvSpPr>
          <a:spLocks noChangeShapeType="1"/>
        </xdr:cNvSpPr>
      </xdr:nvSpPr>
      <xdr:spPr bwMode="auto">
        <a:xfrm flipV="1">
          <a:off x="3600450" y="6505575"/>
          <a:ext cx="219075" cy="30480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</xdr:col>
      <xdr:colOff>266700</xdr:colOff>
      <xdr:row>39</xdr:row>
      <xdr:rowOff>76200</xdr:rowOff>
    </xdr:from>
    <xdr:to>
      <xdr:col>5</xdr:col>
      <xdr:colOff>190500</xdr:colOff>
      <xdr:row>39</xdr:row>
      <xdr:rowOff>85725</xdr:rowOff>
    </xdr:to>
    <xdr:sp macro="" textlink="">
      <xdr:nvSpPr>
        <xdr:cNvPr id="24" name="Line 27"/>
        <xdr:cNvSpPr>
          <a:spLocks noChangeShapeType="1"/>
        </xdr:cNvSpPr>
      </xdr:nvSpPr>
      <xdr:spPr bwMode="auto">
        <a:xfrm flipV="1">
          <a:off x="2705100" y="6391275"/>
          <a:ext cx="533400" cy="9525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</xdr:col>
      <xdr:colOff>457200</xdr:colOff>
      <xdr:row>26</xdr:row>
      <xdr:rowOff>95250</xdr:rowOff>
    </xdr:from>
    <xdr:to>
      <xdr:col>10</xdr:col>
      <xdr:colOff>19050</xdr:colOff>
      <xdr:row>26</xdr:row>
      <xdr:rowOff>95250</xdr:rowOff>
    </xdr:to>
    <xdr:sp macro="" textlink="">
      <xdr:nvSpPr>
        <xdr:cNvPr id="25" name="Line 28"/>
        <xdr:cNvSpPr>
          <a:spLocks noChangeShapeType="1"/>
        </xdr:cNvSpPr>
      </xdr:nvSpPr>
      <xdr:spPr bwMode="auto">
        <a:xfrm>
          <a:off x="5334000" y="4305300"/>
          <a:ext cx="781050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</xdr:col>
      <xdr:colOff>66675</xdr:colOff>
      <xdr:row>26</xdr:row>
      <xdr:rowOff>76200</xdr:rowOff>
    </xdr:from>
    <xdr:to>
      <xdr:col>5</xdr:col>
      <xdr:colOff>266700</xdr:colOff>
      <xdr:row>26</xdr:row>
      <xdr:rowOff>76200</xdr:rowOff>
    </xdr:to>
    <xdr:sp macro="" textlink="">
      <xdr:nvSpPr>
        <xdr:cNvPr id="26" name="Line 29"/>
        <xdr:cNvSpPr>
          <a:spLocks noChangeShapeType="1"/>
        </xdr:cNvSpPr>
      </xdr:nvSpPr>
      <xdr:spPr bwMode="auto">
        <a:xfrm flipH="1">
          <a:off x="3114675" y="4286250"/>
          <a:ext cx="200025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</xdr:col>
      <xdr:colOff>333375</xdr:colOff>
      <xdr:row>28</xdr:row>
      <xdr:rowOff>9525</xdr:rowOff>
    </xdr:from>
    <xdr:to>
      <xdr:col>6</xdr:col>
      <xdr:colOff>361950</xdr:colOff>
      <xdr:row>30</xdr:row>
      <xdr:rowOff>0</xdr:rowOff>
    </xdr:to>
    <xdr:sp macro="" textlink="">
      <xdr:nvSpPr>
        <xdr:cNvPr id="27" name="Line 30"/>
        <xdr:cNvSpPr>
          <a:spLocks noChangeShapeType="1"/>
        </xdr:cNvSpPr>
      </xdr:nvSpPr>
      <xdr:spPr bwMode="auto">
        <a:xfrm flipH="1">
          <a:off x="3381375" y="4543425"/>
          <a:ext cx="638175" cy="314325"/>
        </a:xfrm>
        <a:prstGeom prst="line">
          <a:avLst/>
        </a:prstGeom>
        <a:noFill/>
        <a:ln w="1587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</xdr:col>
      <xdr:colOff>276225</xdr:colOff>
      <xdr:row>28</xdr:row>
      <xdr:rowOff>19050</xdr:rowOff>
    </xdr:from>
    <xdr:to>
      <xdr:col>7</xdr:col>
      <xdr:colOff>304800</xdr:colOff>
      <xdr:row>30</xdr:row>
      <xdr:rowOff>9525</xdr:rowOff>
    </xdr:to>
    <xdr:sp macro="" textlink="">
      <xdr:nvSpPr>
        <xdr:cNvPr id="28" name="Line 31"/>
        <xdr:cNvSpPr>
          <a:spLocks noChangeShapeType="1"/>
        </xdr:cNvSpPr>
      </xdr:nvSpPr>
      <xdr:spPr bwMode="auto">
        <a:xfrm flipH="1">
          <a:off x="3933825" y="4552950"/>
          <a:ext cx="638175" cy="314325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</xdr:col>
      <xdr:colOff>371475</xdr:colOff>
      <xdr:row>28</xdr:row>
      <xdr:rowOff>9525</xdr:rowOff>
    </xdr:from>
    <xdr:to>
      <xdr:col>8</xdr:col>
      <xdr:colOff>400050</xdr:colOff>
      <xdr:row>30</xdr:row>
      <xdr:rowOff>0</xdr:rowOff>
    </xdr:to>
    <xdr:sp macro="" textlink="">
      <xdr:nvSpPr>
        <xdr:cNvPr id="29" name="Line 32"/>
        <xdr:cNvSpPr>
          <a:spLocks noChangeShapeType="1"/>
        </xdr:cNvSpPr>
      </xdr:nvSpPr>
      <xdr:spPr bwMode="auto">
        <a:xfrm flipH="1">
          <a:off x="4638675" y="4543425"/>
          <a:ext cx="638175" cy="314325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</xdr:col>
      <xdr:colOff>266700</xdr:colOff>
      <xdr:row>28</xdr:row>
      <xdr:rowOff>19050</xdr:rowOff>
    </xdr:from>
    <xdr:to>
      <xdr:col>10</xdr:col>
      <xdr:colOff>295275</xdr:colOff>
      <xdr:row>30</xdr:row>
      <xdr:rowOff>9525</xdr:rowOff>
    </xdr:to>
    <xdr:sp macro="" textlink="">
      <xdr:nvSpPr>
        <xdr:cNvPr id="30" name="Line 33"/>
        <xdr:cNvSpPr>
          <a:spLocks noChangeShapeType="1"/>
        </xdr:cNvSpPr>
      </xdr:nvSpPr>
      <xdr:spPr bwMode="auto">
        <a:xfrm flipH="1">
          <a:off x="5753100" y="4552950"/>
          <a:ext cx="638175" cy="314325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</xdr:col>
      <xdr:colOff>361950</xdr:colOff>
      <xdr:row>21</xdr:row>
      <xdr:rowOff>28575</xdr:rowOff>
    </xdr:from>
    <xdr:to>
      <xdr:col>6</xdr:col>
      <xdr:colOff>571500</xdr:colOff>
      <xdr:row>21</xdr:row>
      <xdr:rowOff>152400</xdr:rowOff>
    </xdr:to>
    <xdr:sp macro="" textlink="">
      <xdr:nvSpPr>
        <xdr:cNvPr id="31" name="Line 37"/>
        <xdr:cNvSpPr>
          <a:spLocks noChangeShapeType="1"/>
        </xdr:cNvSpPr>
      </xdr:nvSpPr>
      <xdr:spPr bwMode="auto">
        <a:xfrm flipV="1">
          <a:off x="3409950" y="3429000"/>
          <a:ext cx="819150" cy="123825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15</xdr:col>
      <xdr:colOff>95250</xdr:colOff>
      <xdr:row>37</xdr:row>
      <xdr:rowOff>161925</xdr:rowOff>
    </xdr:from>
    <xdr:to>
      <xdr:col>15</xdr:col>
      <xdr:colOff>419100</xdr:colOff>
      <xdr:row>37</xdr:row>
      <xdr:rowOff>161925</xdr:rowOff>
    </xdr:to>
    <xdr:sp macro="" textlink="">
      <xdr:nvSpPr>
        <xdr:cNvPr id="32" name="Line 39"/>
        <xdr:cNvSpPr>
          <a:spLocks noChangeShapeType="1"/>
        </xdr:cNvSpPr>
      </xdr:nvSpPr>
      <xdr:spPr bwMode="auto">
        <a:xfrm flipH="1">
          <a:off x="9239250" y="6153150"/>
          <a:ext cx="323850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15</xdr:col>
      <xdr:colOff>95250</xdr:colOff>
      <xdr:row>29</xdr:row>
      <xdr:rowOff>161925</xdr:rowOff>
    </xdr:from>
    <xdr:to>
      <xdr:col>15</xdr:col>
      <xdr:colOff>504825</xdr:colOff>
      <xdr:row>29</xdr:row>
      <xdr:rowOff>161925</xdr:rowOff>
    </xdr:to>
    <xdr:sp macro="" textlink="">
      <xdr:nvSpPr>
        <xdr:cNvPr id="33" name="Line 40"/>
        <xdr:cNvSpPr>
          <a:spLocks noChangeShapeType="1"/>
        </xdr:cNvSpPr>
      </xdr:nvSpPr>
      <xdr:spPr bwMode="auto">
        <a:xfrm flipH="1">
          <a:off x="9239250" y="4857750"/>
          <a:ext cx="409575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15</xdr:col>
      <xdr:colOff>466725</xdr:colOff>
      <xdr:row>31</xdr:row>
      <xdr:rowOff>9525</xdr:rowOff>
    </xdr:from>
    <xdr:to>
      <xdr:col>15</xdr:col>
      <xdr:colOff>466725</xdr:colOff>
      <xdr:row>38</xdr:row>
      <xdr:rowOff>0</xdr:rowOff>
    </xdr:to>
    <xdr:sp macro="" textlink="">
      <xdr:nvSpPr>
        <xdr:cNvPr id="34" name="Line 41"/>
        <xdr:cNvSpPr>
          <a:spLocks noChangeShapeType="1"/>
        </xdr:cNvSpPr>
      </xdr:nvSpPr>
      <xdr:spPr bwMode="auto">
        <a:xfrm flipV="1">
          <a:off x="9610725" y="5029200"/>
          <a:ext cx="0" cy="112395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15</xdr:col>
      <xdr:colOff>95250</xdr:colOff>
      <xdr:row>23</xdr:row>
      <xdr:rowOff>161925</xdr:rowOff>
    </xdr:from>
    <xdr:to>
      <xdr:col>15</xdr:col>
      <xdr:colOff>504825</xdr:colOff>
      <xdr:row>23</xdr:row>
      <xdr:rowOff>161925</xdr:rowOff>
    </xdr:to>
    <xdr:sp macro="" textlink="">
      <xdr:nvSpPr>
        <xdr:cNvPr id="35" name="Line 42"/>
        <xdr:cNvSpPr>
          <a:spLocks noChangeShapeType="1"/>
        </xdr:cNvSpPr>
      </xdr:nvSpPr>
      <xdr:spPr bwMode="auto">
        <a:xfrm flipH="1">
          <a:off x="9239250" y="3886200"/>
          <a:ext cx="409575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15</xdr:col>
      <xdr:colOff>95250</xdr:colOff>
      <xdr:row>17</xdr:row>
      <xdr:rowOff>161925</xdr:rowOff>
    </xdr:from>
    <xdr:to>
      <xdr:col>15</xdr:col>
      <xdr:colOff>504825</xdr:colOff>
      <xdr:row>17</xdr:row>
      <xdr:rowOff>161925</xdr:rowOff>
    </xdr:to>
    <xdr:sp macro="" textlink="">
      <xdr:nvSpPr>
        <xdr:cNvPr id="36" name="Line 43"/>
        <xdr:cNvSpPr>
          <a:spLocks noChangeShapeType="1"/>
        </xdr:cNvSpPr>
      </xdr:nvSpPr>
      <xdr:spPr bwMode="auto">
        <a:xfrm flipH="1">
          <a:off x="9239250" y="2914650"/>
          <a:ext cx="409575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15</xdr:col>
      <xdr:colOff>95250</xdr:colOff>
      <xdr:row>11</xdr:row>
      <xdr:rowOff>161925</xdr:rowOff>
    </xdr:from>
    <xdr:to>
      <xdr:col>15</xdr:col>
      <xdr:colOff>504825</xdr:colOff>
      <xdr:row>11</xdr:row>
      <xdr:rowOff>161925</xdr:rowOff>
    </xdr:to>
    <xdr:sp macro="" textlink="">
      <xdr:nvSpPr>
        <xdr:cNvPr id="37" name="Line 44"/>
        <xdr:cNvSpPr>
          <a:spLocks noChangeShapeType="1"/>
        </xdr:cNvSpPr>
      </xdr:nvSpPr>
      <xdr:spPr bwMode="auto">
        <a:xfrm flipH="1">
          <a:off x="9239250" y="1943100"/>
          <a:ext cx="409575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15</xdr:col>
      <xdr:colOff>447675</xdr:colOff>
      <xdr:row>25</xdr:row>
      <xdr:rowOff>0</xdr:rowOff>
    </xdr:from>
    <xdr:to>
      <xdr:col>15</xdr:col>
      <xdr:colOff>447675</xdr:colOff>
      <xdr:row>29</xdr:row>
      <xdr:rowOff>133350</xdr:rowOff>
    </xdr:to>
    <xdr:sp macro="" textlink="">
      <xdr:nvSpPr>
        <xdr:cNvPr id="38" name="Line 45"/>
        <xdr:cNvSpPr>
          <a:spLocks noChangeShapeType="1"/>
        </xdr:cNvSpPr>
      </xdr:nvSpPr>
      <xdr:spPr bwMode="auto">
        <a:xfrm flipV="1">
          <a:off x="9591675" y="4048125"/>
          <a:ext cx="0" cy="78105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</xdr:col>
      <xdr:colOff>123825</xdr:colOff>
      <xdr:row>41</xdr:row>
      <xdr:rowOff>38100</xdr:rowOff>
    </xdr:from>
    <xdr:to>
      <xdr:col>7</xdr:col>
      <xdr:colOff>0</xdr:colOff>
      <xdr:row>41</xdr:row>
      <xdr:rowOff>114300</xdr:rowOff>
    </xdr:to>
    <xdr:sp macro="" textlink="">
      <xdr:nvSpPr>
        <xdr:cNvPr id="39" name="Line 47"/>
        <xdr:cNvSpPr>
          <a:spLocks noChangeShapeType="1"/>
        </xdr:cNvSpPr>
      </xdr:nvSpPr>
      <xdr:spPr bwMode="auto">
        <a:xfrm flipH="1" flipV="1">
          <a:off x="3781425" y="6677025"/>
          <a:ext cx="485775" cy="7620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285750</xdr:colOff>
      <xdr:row>28</xdr:row>
      <xdr:rowOff>9525</xdr:rowOff>
    </xdr:from>
    <xdr:to>
      <xdr:col>5</xdr:col>
      <xdr:colOff>314325</xdr:colOff>
      <xdr:row>30</xdr:row>
      <xdr:rowOff>0</xdr:rowOff>
    </xdr:to>
    <xdr:sp macro="" textlink="">
      <xdr:nvSpPr>
        <xdr:cNvPr id="2" name="Line 1"/>
        <xdr:cNvSpPr>
          <a:spLocks noChangeShapeType="1"/>
        </xdr:cNvSpPr>
      </xdr:nvSpPr>
      <xdr:spPr bwMode="auto">
        <a:xfrm flipH="1">
          <a:off x="2724150" y="4543425"/>
          <a:ext cx="638175" cy="314325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</xdr:col>
      <xdr:colOff>285750</xdr:colOff>
      <xdr:row>37</xdr:row>
      <xdr:rowOff>95250</xdr:rowOff>
    </xdr:from>
    <xdr:to>
      <xdr:col>6</xdr:col>
      <xdr:colOff>171450</xdr:colOff>
      <xdr:row>37</xdr:row>
      <xdr:rowOff>95250</xdr:rowOff>
    </xdr:to>
    <xdr:sp macro="" textlink="">
      <xdr:nvSpPr>
        <xdr:cNvPr id="3" name="Line 6"/>
        <xdr:cNvSpPr>
          <a:spLocks noChangeShapeType="1"/>
        </xdr:cNvSpPr>
      </xdr:nvSpPr>
      <xdr:spPr bwMode="auto">
        <a:xfrm flipH="1">
          <a:off x="3333750" y="6086475"/>
          <a:ext cx="495300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</xdr:col>
      <xdr:colOff>485775</xdr:colOff>
      <xdr:row>37</xdr:row>
      <xdr:rowOff>9525</xdr:rowOff>
    </xdr:from>
    <xdr:to>
      <xdr:col>5</xdr:col>
      <xdr:colOff>485775</xdr:colOff>
      <xdr:row>37</xdr:row>
      <xdr:rowOff>95250</xdr:rowOff>
    </xdr:to>
    <xdr:sp macro="" textlink="">
      <xdr:nvSpPr>
        <xdr:cNvPr id="4" name="Line 7"/>
        <xdr:cNvSpPr>
          <a:spLocks noChangeShapeType="1"/>
        </xdr:cNvSpPr>
      </xdr:nvSpPr>
      <xdr:spPr bwMode="auto">
        <a:xfrm>
          <a:off x="3533775" y="6000750"/>
          <a:ext cx="0" cy="85725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</xdr:col>
      <xdr:colOff>161925</xdr:colOff>
      <xdr:row>37</xdr:row>
      <xdr:rowOff>38100</xdr:rowOff>
    </xdr:from>
    <xdr:to>
      <xdr:col>6</xdr:col>
      <xdr:colOff>161925</xdr:colOff>
      <xdr:row>37</xdr:row>
      <xdr:rowOff>161925</xdr:rowOff>
    </xdr:to>
    <xdr:sp macro="" textlink="">
      <xdr:nvSpPr>
        <xdr:cNvPr id="5" name="Line 8"/>
        <xdr:cNvSpPr>
          <a:spLocks noChangeShapeType="1"/>
        </xdr:cNvSpPr>
      </xdr:nvSpPr>
      <xdr:spPr bwMode="auto">
        <a:xfrm>
          <a:off x="3819525" y="6029325"/>
          <a:ext cx="0" cy="123825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</xdr:col>
      <xdr:colOff>200025</xdr:colOff>
      <xdr:row>37</xdr:row>
      <xdr:rowOff>38100</xdr:rowOff>
    </xdr:from>
    <xdr:to>
      <xdr:col>6</xdr:col>
      <xdr:colOff>200025</xdr:colOff>
      <xdr:row>37</xdr:row>
      <xdr:rowOff>161925</xdr:rowOff>
    </xdr:to>
    <xdr:sp macro="" textlink="">
      <xdr:nvSpPr>
        <xdr:cNvPr id="6" name="Line 9"/>
        <xdr:cNvSpPr>
          <a:spLocks noChangeShapeType="1"/>
        </xdr:cNvSpPr>
      </xdr:nvSpPr>
      <xdr:spPr bwMode="auto">
        <a:xfrm>
          <a:off x="3857625" y="6029325"/>
          <a:ext cx="0" cy="123825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</xdr:col>
      <xdr:colOff>95250</xdr:colOff>
      <xdr:row>37</xdr:row>
      <xdr:rowOff>47625</xdr:rowOff>
    </xdr:from>
    <xdr:to>
      <xdr:col>6</xdr:col>
      <xdr:colOff>266700</xdr:colOff>
      <xdr:row>37</xdr:row>
      <xdr:rowOff>152400</xdr:rowOff>
    </xdr:to>
    <xdr:sp macro="" textlink="">
      <xdr:nvSpPr>
        <xdr:cNvPr id="7" name="Line 10"/>
        <xdr:cNvSpPr>
          <a:spLocks noChangeShapeType="1"/>
        </xdr:cNvSpPr>
      </xdr:nvSpPr>
      <xdr:spPr bwMode="auto">
        <a:xfrm flipH="1">
          <a:off x="3752850" y="6038850"/>
          <a:ext cx="171450" cy="104775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</xdr:col>
      <xdr:colOff>209550</xdr:colOff>
      <xdr:row>37</xdr:row>
      <xdr:rowOff>95250</xdr:rowOff>
    </xdr:from>
    <xdr:to>
      <xdr:col>6</xdr:col>
      <xdr:colOff>304800</xdr:colOff>
      <xdr:row>38</xdr:row>
      <xdr:rowOff>38100</xdr:rowOff>
    </xdr:to>
    <xdr:sp macro="" textlink="">
      <xdr:nvSpPr>
        <xdr:cNvPr id="8" name="Line 11"/>
        <xdr:cNvSpPr>
          <a:spLocks noChangeShapeType="1"/>
        </xdr:cNvSpPr>
      </xdr:nvSpPr>
      <xdr:spPr bwMode="auto">
        <a:xfrm>
          <a:off x="3867150" y="6086475"/>
          <a:ext cx="95250" cy="104775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</xdr:col>
      <xdr:colOff>285750</xdr:colOff>
      <xdr:row>37</xdr:row>
      <xdr:rowOff>142875</xdr:rowOff>
    </xdr:from>
    <xdr:to>
      <xdr:col>6</xdr:col>
      <xdr:colOff>295275</xdr:colOff>
      <xdr:row>38</xdr:row>
      <xdr:rowOff>19050</xdr:rowOff>
    </xdr:to>
    <xdr:sp macro="" textlink="">
      <xdr:nvSpPr>
        <xdr:cNvPr id="9" name="Oval 12"/>
        <xdr:cNvSpPr>
          <a:spLocks noChangeArrowheads="1"/>
        </xdr:cNvSpPr>
      </xdr:nvSpPr>
      <xdr:spPr bwMode="auto">
        <a:xfrm>
          <a:off x="3943350" y="6134100"/>
          <a:ext cx="9525" cy="38100"/>
        </a:xfrm>
        <a:prstGeom prst="ellipse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</xdr:spPr>
    </xdr:sp>
    <xdr:clientData/>
  </xdr:twoCellAnchor>
  <xdr:twoCellAnchor>
    <xdr:from>
      <xdr:col>6</xdr:col>
      <xdr:colOff>257175</xdr:colOff>
      <xdr:row>37</xdr:row>
      <xdr:rowOff>123825</xdr:rowOff>
    </xdr:from>
    <xdr:to>
      <xdr:col>6</xdr:col>
      <xdr:colOff>342900</xdr:colOff>
      <xdr:row>38</xdr:row>
      <xdr:rowOff>47625</xdr:rowOff>
    </xdr:to>
    <xdr:sp macro="" textlink="">
      <xdr:nvSpPr>
        <xdr:cNvPr id="10" name="Oval 13"/>
        <xdr:cNvSpPr>
          <a:spLocks noChangeArrowheads="1"/>
        </xdr:cNvSpPr>
      </xdr:nvSpPr>
      <xdr:spPr bwMode="auto">
        <a:xfrm>
          <a:off x="3914775" y="6115050"/>
          <a:ext cx="85725" cy="85725"/>
        </a:xfrm>
        <a:prstGeom prst="ellipse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</xdr:spPr>
    </xdr:sp>
    <xdr:clientData/>
  </xdr:twoCellAnchor>
  <xdr:twoCellAnchor>
    <xdr:from>
      <xdr:col>6</xdr:col>
      <xdr:colOff>209550</xdr:colOff>
      <xdr:row>37</xdr:row>
      <xdr:rowOff>104775</xdr:rowOff>
    </xdr:from>
    <xdr:to>
      <xdr:col>6</xdr:col>
      <xdr:colOff>304800</xdr:colOff>
      <xdr:row>38</xdr:row>
      <xdr:rowOff>0</xdr:rowOff>
    </xdr:to>
    <xdr:sp macro="" textlink="">
      <xdr:nvSpPr>
        <xdr:cNvPr id="11" name="Line 14"/>
        <xdr:cNvSpPr>
          <a:spLocks noChangeShapeType="1"/>
        </xdr:cNvSpPr>
      </xdr:nvSpPr>
      <xdr:spPr bwMode="auto">
        <a:xfrm>
          <a:off x="3867150" y="6096000"/>
          <a:ext cx="95250" cy="5715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</xdr:col>
      <xdr:colOff>219075</xdr:colOff>
      <xdr:row>37</xdr:row>
      <xdr:rowOff>114300</xdr:rowOff>
    </xdr:from>
    <xdr:to>
      <xdr:col>6</xdr:col>
      <xdr:colOff>295275</xdr:colOff>
      <xdr:row>38</xdr:row>
      <xdr:rowOff>9525</xdr:rowOff>
    </xdr:to>
    <xdr:sp macro="" textlink="">
      <xdr:nvSpPr>
        <xdr:cNvPr id="12" name="Line 15"/>
        <xdr:cNvSpPr>
          <a:spLocks noChangeShapeType="1"/>
        </xdr:cNvSpPr>
      </xdr:nvSpPr>
      <xdr:spPr bwMode="auto">
        <a:xfrm flipH="1" flipV="1">
          <a:off x="3876675" y="6105525"/>
          <a:ext cx="76200" cy="5715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</xdr:col>
      <xdr:colOff>295275</xdr:colOff>
      <xdr:row>37</xdr:row>
      <xdr:rowOff>0</xdr:rowOff>
    </xdr:from>
    <xdr:to>
      <xdr:col>6</xdr:col>
      <xdr:colOff>304800</xdr:colOff>
      <xdr:row>37</xdr:row>
      <xdr:rowOff>123825</xdr:rowOff>
    </xdr:to>
    <xdr:sp macro="" textlink="">
      <xdr:nvSpPr>
        <xdr:cNvPr id="13" name="Line 16"/>
        <xdr:cNvSpPr>
          <a:spLocks noChangeShapeType="1"/>
        </xdr:cNvSpPr>
      </xdr:nvSpPr>
      <xdr:spPr bwMode="auto">
        <a:xfrm flipH="1">
          <a:off x="3952875" y="5991225"/>
          <a:ext cx="9525" cy="123825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</xdr:col>
      <xdr:colOff>295275</xdr:colOff>
      <xdr:row>38</xdr:row>
      <xdr:rowOff>57150</xdr:rowOff>
    </xdr:from>
    <xdr:to>
      <xdr:col>7</xdr:col>
      <xdr:colOff>152400</xdr:colOff>
      <xdr:row>39</xdr:row>
      <xdr:rowOff>28575</xdr:rowOff>
    </xdr:to>
    <xdr:sp macro="" textlink="">
      <xdr:nvSpPr>
        <xdr:cNvPr id="14" name="Line 17"/>
        <xdr:cNvSpPr>
          <a:spLocks noChangeShapeType="1"/>
        </xdr:cNvSpPr>
      </xdr:nvSpPr>
      <xdr:spPr bwMode="auto">
        <a:xfrm>
          <a:off x="3952875" y="6210300"/>
          <a:ext cx="466725" cy="13335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</xdr:col>
      <xdr:colOff>342900</xdr:colOff>
      <xdr:row>37</xdr:row>
      <xdr:rowOff>152400</xdr:rowOff>
    </xdr:from>
    <xdr:to>
      <xdr:col>7</xdr:col>
      <xdr:colOff>228600</xdr:colOff>
      <xdr:row>39</xdr:row>
      <xdr:rowOff>0</xdr:rowOff>
    </xdr:to>
    <xdr:sp macro="" textlink="">
      <xdr:nvSpPr>
        <xdr:cNvPr id="15" name="Line 18"/>
        <xdr:cNvSpPr>
          <a:spLocks noChangeShapeType="1"/>
        </xdr:cNvSpPr>
      </xdr:nvSpPr>
      <xdr:spPr bwMode="auto">
        <a:xfrm>
          <a:off x="4000500" y="6143625"/>
          <a:ext cx="495300" cy="17145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</xdr:col>
      <xdr:colOff>304800</xdr:colOff>
      <xdr:row>37</xdr:row>
      <xdr:rowOff>114300</xdr:rowOff>
    </xdr:from>
    <xdr:to>
      <xdr:col>6</xdr:col>
      <xdr:colOff>161925</xdr:colOff>
      <xdr:row>37</xdr:row>
      <xdr:rowOff>114300</xdr:rowOff>
    </xdr:to>
    <xdr:sp macro="" textlink="">
      <xdr:nvSpPr>
        <xdr:cNvPr id="16" name="Line 19"/>
        <xdr:cNvSpPr>
          <a:spLocks noChangeShapeType="1"/>
        </xdr:cNvSpPr>
      </xdr:nvSpPr>
      <xdr:spPr bwMode="auto">
        <a:xfrm>
          <a:off x="3352800" y="6105525"/>
          <a:ext cx="466725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</xdr:col>
      <xdr:colOff>295275</xdr:colOff>
      <xdr:row>37</xdr:row>
      <xdr:rowOff>19050</xdr:rowOff>
    </xdr:from>
    <xdr:to>
      <xdr:col>6</xdr:col>
      <xdr:colOff>295275</xdr:colOff>
      <xdr:row>37</xdr:row>
      <xdr:rowOff>114300</xdr:rowOff>
    </xdr:to>
    <xdr:sp macro="" textlink="">
      <xdr:nvSpPr>
        <xdr:cNvPr id="17" name="Line 20"/>
        <xdr:cNvSpPr>
          <a:spLocks noChangeShapeType="1"/>
        </xdr:cNvSpPr>
      </xdr:nvSpPr>
      <xdr:spPr bwMode="auto">
        <a:xfrm>
          <a:off x="3952875" y="6010275"/>
          <a:ext cx="0" cy="9525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</xdr:col>
      <xdr:colOff>266700</xdr:colOff>
      <xdr:row>36</xdr:row>
      <xdr:rowOff>104775</xdr:rowOff>
    </xdr:from>
    <xdr:to>
      <xdr:col>6</xdr:col>
      <xdr:colOff>361950</xdr:colOff>
      <xdr:row>37</xdr:row>
      <xdr:rowOff>47625</xdr:rowOff>
    </xdr:to>
    <xdr:sp macro="" textlink="">
      <xdr:nvSpPr>
        <xdr:cNvPr id="18" name="Oval 21"/>
        <xdr:cNvSpPr>
          <a:spLocks noChangeArrowheads="1"/>
        </xdr:cNvSpPr>
      </xdr:nvSpPr>
      <xdr:spPr bwMode="auto">
        <a:xfrm>
          <a:off x="3924300" y="5934075"/>
          <a:ext cx="95250" cy="104775"/>
        </a:xfrm>
        <a:prstGeom prst="ellipse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</xdr:spPr>
    </xdr:sp>
    <xdr:clientData/>
  </xdr:twoCellAnchor>
  <xdr:twoCellAnchor>
    <xdr:from>
      <xdr:col>5</xdr:col>
      <xdr:colOff>504825</xdr:colOff>
      <xdr:row>37</xdr:row>
      <xdr:rowOff>0</xdr:rowOff>
    </xdr:from>
    <xdr:to>
      <xdr:col>5</xdr:col>
      <xdr:colOff>504825</xdr:colOff>
      <xdr:row>37</xdr:row>
      <xdr:rowOff>104775</xdr:rowOff>
    </xdr:to>
    <xdr:sp macro="" textlink="">
      <xdr:nvSpPr>
        <xdr:cNvPr id="19" name="Line 22"/>
        <xdr:cNvSpPr>
          <a:spLocks noChangeShapeType="1"/>
        </xdr:cNvSpPr>
      </xdr:nvSpPr>
      <xdr:spPr bwMode="auto">
        <a:xfrm>
          <a:off x="3552825" y="5991225"/>
          <a:ext cx="0" cy="104775"/>
        </a:xfrm>
        <a:prstGeom prst="line">
          <a:avLst/>
        </a:prstGeom>
        <a:noFill/>
        <a:ln w="2857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</xdr:col>
      <xdr:colOff>295275</xdr:colOff>
      <xdr:row>37</xdr:row>
      <xdr:rowOff>104775</xdr:rowOff>
    </xdr:from>
    <xdr:to>
      <xdr:col>6</xdr:col>
      <xdr:colOff>161925</xdr:colOff>
      <xdr:row>37</xdr:row>
      <xdr:rowOff>104775</xdr:rowOff>
    </xdr:to>
    <xdr:sp macro="" textlink="">
      <xdr:nvSpPr>
        <xdr:cNvPr id="20" name="Line 23"/>
        <xdr:cNvSpPr>
          <a:spLocks noChangeShapeType="1"/>
        </xdr:cNvSpPr>
      </xdr:nvSpPr>
      <xdr:spPr bwMode="auto">
        <a:xfrm>
          <a:off x="3343275" y="6096000"/>
          <a:ext cx="476250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</xdr:col>
      <xdr:colOff>276225</xdr:colOff>
      <xdr:row>37</xdr:row>
      <xdr:rowOff>57150</xdr:rowOff>
    </xdr:from>
    <xdr:to>
      <xdr:col>5</xdr:col>
      <xdr:colOff>371475</xdr:colOff>
      <xdr:row>38</xdr:row>
      <xdr:rowOff>85725</xdr:rowOff>
    </xdr:to>
    <xdr:sp macro="" textlink="">
      <xdr:nvSpPr>
        <xdr:cNvPr id="21" name="Line 24"/>
        <xdr:cNvSpPr>
          <a:spLocks noChangeShapeType="1"/>
        </xdr:cNvSpPr>
      </xdr:nvSpPr>
      <xdr:spPr bwMode="auto">
        <a:xfrm flipH="1">
          <a:off x="3324225" y="6048375"/>
          <a:ext cx="95250" cy="19050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</xdr:col>
      <xdr:colOff>371475</xdr:colOff>
      <xdr:row>37</xdr:row>
      <xdr:rowOff>161925</xdr:rowOff>
    </xdr:from>
    <xdr:to>
      <xdr:col>5</xdr:col>
      <xdr:colOff>504825</xdr:colOff>
      <xdr:row>39</xdr:row>
      <xdr:rowOff>104775</xdr:rowOff>
    </xdr:to>
    <xdr:sp macro="" textlink="">
      <xdr:nvSpPr>
        <xdr:cNvPr id="22" name="Line 25"/>
        <xdr:cNvSpPr>
          <a:spLocks noChangeShapeType="1"/>
        </xdr:cNvSpPr>
      </xdr:nvSpPr>
      <xdr:spPr bwMode="auto">
        <a:xfrm flipH="1">
          <a:off x="3419475" y="6153150"/>
          <a:ext cx="133350" cy="26670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</xdr:col>
      <xdr:colOff>552450</xdr:colOff>
      <xdr:row>38</xdr:row>
      <xdr:rowOff>28575</xdr:rowOff>
    </xdr:from>
    <xdr:to>
      <xdr:col>6</xdr:col>
      <xdr:colOff>161925</xdr:colOff>
      <xdr:row>40</xdr:row>
      <xdr:rowOff>9525</xdr:rowOff>
    </xdr:to>
    <xdr:sp macro="" textlink="">
      <xdr:nvSpPr>
        <xdr:cNvPr id="23" name="Line 26"/>
        <xdr:cNvSpPr>
          <a:spLocks noChangeShapeType="1"/>
        </xdr:cNvSpPr>
      </xdr:nvSpPr>
      <xdr:spPr bwMode="auto">
        <a:xfrm flipV="1">
          <a:off x="3600450" y="6181725"/>
          <a:ext cx="219075" cy="30480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</xdr:col>
      <xdr:colOff>266700</xdr:colOff>
      <xdr:row>37</xdr:row>
      <xdr:rowOff>76200</xdr:rowOff>
    </xdr:from>
    <xdr:to>
      <xdr:col>5</xdr:col>
      <xdr:colOff>190500</xdr:colOff>
      <xdr:row>37</xdr:row>
      <xdr:rowOff>85725</xdr:rowOff>
    </xdr:to>
    <xdr:sp macro="" textlink="">
      <xdr:nvSpPr>
        <xdr:cNvPr id="24" name="Line 27"/>
        <xdr:cNvSpPr>
          <a:spLocks noChangeShapeType="1"/>
        </xdr:cNvSpPr>
      </xdr:nvSpPr>
      <xdr:spPr bwMode="auto">
        <a:xfrm flipV="1">
          <a:off x="2705100" y="6067425"/>
          <a:ext cx="533400" cy="9525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</xdr:col>
      <xdr:colOff>457200</xdr:colOff>
      <xdr:row>26</xdr:row>
      <xdr:rowOff>95250</xdr:rowOff>
    </xdr:from>
    <xdr:to>
      <xdr:col>10</xdr:col>
      <xdr:colOff>19050</xdr:colOff>
      <xdr:row>26</xdr:row>
      <xdr:rowOff>95250</xdr:rowOff>
    </xdr:to>
    <xdr:sp macro="" textlink="">
      <xdr:nvSpPr>
        <xdr:cNvPr id="25" name="Line 28"/>
        <xdr:cNvSpPr>
          <a:spLocks noChangeShapeType="1"/>
        </xdr:cNvSpPr>
      </xdr:nvSpPr>
      <xdr:spPr bwMode="auto">
        <a:xfrm>
          <a:off x="5334000" y="4305300"/>
          <a:ext cx="781050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</xdr:col>
      <xdr:colOff>66675</xdr:colOff>
      <xdr:row>26</xdr:row>
      <xdr:rowOff>76200</xdr:rowOff>
    </xdr:from>
    <xdr:to>
      <xdr:col>5</xdr:col>
      <xdr:colOff>266700</xdr:colOff>
      <xdr:row>26</xdr:row>
      <xdr:rowOff>76200</xdr:rowOff>
    </xdr:to>
    <xdr:sp macro="" textlink="">
      <xdr:nvSpPr>
        <xdr:cNvPr id="26" name="Line 29"/>
        <xdr:cNvSpPr>
          <a:spLocks noChangeShapeType="1"/>
        </xdr:cNvSpPr>
      </xdr:nvSpPr>
      <xdr:spPr bwMode="auto">
        <a:xfrm flipH="1">
          <a:off x="3114675" y="4286250"/>
          <a:ext cx="200025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</xdr:col>
      <xdr:colOff>333375</xdr:colOff>
      <xdr:row>28</xdr:row>
      <xdr:rowOff>9525</xdr:rowOff>
    </xdr:from>
    <xdr:to>
      <xdr:col>6</xdr:col>
      <xdr:colOff>361950</xdr:colOff>
      <xdr:row>30</xdr:row>
      <xdr:rowOff>0</xdr:rowOff>
    </xdr:to>
    <xdr:sp macro="" textlink="">
      <xdr:nvSpPr>
        <xdr:cNvPr id="27" name="Line 30"/>
        <xdr:cNvSpPr>
          <a:spLocks noChangeShapeType="1"/>
        </xdr:cNvSpPr>
      </xdr:nvSpPr>
      <xdr:spPr bwMode="auto">
        <a:xfrm flipH="1">
          <a:off x="3381375" y="4543425"/>
          <a:ext cx="638175" cy="314325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</xdr:col>
      <xdr:colOff>276225</xdr:colOff>
      <xdr:row>28</xdr:row>
      <xdr:rowOff>19050</xdr:rowOff>
    </xdr:from>
    <xdr:to>
      <xdr:col>7</xdr:col>
      <xdr:colOff>304800</xdr:colOff>
      <xdr:row>30</xdr:row>
      <xdr:rowOff>9525</xdr:rowOff>
    </xdr:to>
    <xdr:sp macro="" textlink="">
      <xdr:nvSpPr>
        <xdr:cNvPr id="28" name="Line 31"/>
        <xdr:cNvSpPr>
          <a:spLocks noChangeShapeType="1"/>
        </xdr:cNvSpPr>
      </xdr:nvSpPr>
      <xdr:spPr bwMode="auto">
        <a:xfrm flipH="1">
          <a:off x="3933825" y="4552950"/>
          <a:ext cx="638175" cy="314325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</xdr:col>
      <xdr:colOff>371475</xdr:colOff>
      <xdr:row>28</xdr:row>
      <xdr:rowOff>9525</xdr:rowOff>
    </xdr:from>
    <xdr:to>
      <xdr:col>8</xdr:col>
      <xdr:colOff>400050</xdr:colOff>
      <xdr:row>30</xdr:row>
      <xdr:rowOff>0</xdr:rowOff>
    </xdr:to>
    <xdr:sp macro="" textlink="">
      <xdr:nvSpPr>
        <xdr:cNvPr id="29" name="Line 32"/>
        <xdr:cNvSpPr>
          <a:spLocks noChangeShapeType="1"/>
        </xdr:cNvSpPr>
      </xdr:nvSpPr>
      <xdr:spPr bwMode="auto">
        <a:xfrm flipH="1">
          <a:off x="4638675" y="4543425"/>
          <a:ext cx="638175" cy="314325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</xdr:col>
      <xdr:colOff>266700</xdr:colOff>
      <xdr:row>28</xdr:row>
      <xdr:rowOff>19050</xdr:rowOff>
    </xdr:from>
    <xdr:to>
      <xdr:col>10</xdr:col>
      <xdr:colOff>295275</xdr:colOff>
      <xdr:row>30</xdr:row>
      <xdr:rowOff>9525</xdr:rowOff>
    </xdr:to>
    <xdr:sp macro="" textlink="">
      <xdr:nvSpPr>
        <xdr:cNvPr id="30" name="Line 33"/>
        <xdr:cNvSpPr>
          <a:spLocks noChangeShapeType="1"/>
        </xdr:cNvSpPr>
      </xdr:nvSpPr>
      <xdr:spPr bwMode="auto">
        <a:xfrm flipH="1">
          <a:off x="5753100" y="4552950"/>
          <a:ext cx="638175" cy="314325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</xdr:col>
      <xdr:colOff>371475</xdr:colOff>
      <xdr:row>21</xdr:row>
      <xdr:rowOff>85725</xdr:rowOff>
    </xdr:from>
    <xdr:to>
      <xdr:col>6</xdr:col>
      <xdr:colOff>419100</xdr:colOff>
      <xdr:row>21</xdr:row>
      <xdr:rowOff>152400</xdr:rowOff>
    </xdr:to>
    <xdr:sp macro="" textlink="">
      <xdr:nvSpPr>
        <xdr:cNvPr id="31" name="Line 37"/>
        <xdr:cNvSpPr>
          <a:spLocks noChangeShapeType="1"/>
        </xdr:cNvSpPr>
      </xdr:nvSpPr>
      <xdr:spPr bwMode="auto">
        <a:xfrm flipV="1">
          <a:off x="3419475" y="3486150"/>
          <a:ext cx="657225" cy="66675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15</xdr:col>
      <xdr:colOff>180975</xdr:colOff>
      <xdr:row>38</xdr:row>
      <xdr:rowOff>9525</xdr:rowOff>
    </xdr:from>
    <xdr:to>
      <xdr:col>15</xdr:col>
      <xdr:colOff>504825</xdr:colOff>
      <xdr:row>38</xdr:row>
      <xdr:rowOff>9525</xdr:rowOff>
    </xdr:to>
    <xdr:sp macro="" textlink="">
      <xdr:nvSpPr>
        <xdr:cNvPr id="32" name="Line 39"/>
        <xdr:cNvSpPr>
          <a:spLocks noChangeShapeType="1"/>
        </xdr:cNvSpPr>
      </xdr:nvSpPr>
      <xdr:spPr bwMode="auto">
        <a:xfrm flipH="1">
          <a:off x="9324975" y="6162675"/>
          <a:ext cx="323850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15</xdr:col>
      <xdr:colOff>95250</xdr:colOff>
      <xdr:row>29</xdr:row>
      <xdr:rowOff>161925</xdr:rowOff>
    </xdr:from>
    <xdr:to>
      <xdr:col>15</xdr:col>
      <xdr:colOff>504825</xdr:colOff>
      <xdr:row>29</xdr:row>
      <xdr:rowOff>161925</xdr:rowOff>
    </xdr:to>
    <xdr:sp macro="" textlink="">
      <xdr:nvSpPr>
        <xdr:cNvPr id="33" name="Line 40"/>
        <xdr:cNvSpPr>
          <a:spLocks noChangeShapeType="1"/>
        </xdr:cNvSpPr>
      </xdr:nvSpPr>
      <xdr:spPr bwMode="auto">
        <a:xfrm flipH="1">
          <a:off x="9239250" y="4857750"/>
          <a:ext cx="409575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15</xdr:col>
      <xdr:colOff>466725</xdr:colOff>
      <xdr:row>31</xdr:row>
      <xdr:rowOff>9525</xdr:rowOff>
    </xdr:from>
    <xdr:to>
      <xdr:col>15</xdr:col>
      <xdr:colOff>466725</xdr:colOff>
      <xdr:row>36</xdr:row>
      <xdr:rowOff>161925</xdr:rowOff>
    </xdr:to>
    <xdr:sp macro="" textlink="">
      <xdr:nvSpPr>
        <xdr:cNvPr id="34" name="Line 41"/>
        <xdr:cNvSpPr>
          <a:spLocks noChangeShapeType="1"/>
        </xdr:cNvSpPr>
      </xdr:nvSpPr>
      <xdr:spPr bwMode="auto">
        <a:xfrm flipV="1">
          <a:off x="9610725" y="5029200"/>
          <a:ext cx="0" cy="962025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15</xdr:col>
      <xdr:colOff>95250</xdr:colOff>
      <xdr:row>23</xdr:row>
      <xdr:rowOff>161925</xdr:rowOff>
    </xdr:from>
    <xdr:to>
      <xdr:col>15</xdr:col>
      <xdr:colOff>504825</xdr:colOff>
      <xdr:row>23</xdr:row>
      <xdr:rowOff>161925</xdr:rowOff>
    </xdr:to>
    <xdr:sp macro="" textlink="">
      <xdr:nvSpPr>
        <xdr:cNvPr id="35" name="Line 42"/>
        <xdr:cNvSpPr>
          <a:spLocks noChangeShapeType="1"/>
        </xdr:cNvSpPr>
      </xdr:nvSpPr>
      <xdr:spPr bwMode="auto">
        <a:xfrm flipH="1">
          <a:off x="9239250" y="3886200"/>
          <a:ext cx="409575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15</xdr:col>
      <xdr:colOff>95250</xdr:colOff>
      <xdr:row>17</xdr:row>
      <xdr:rowOff>161925</xdr:rowOff>
    </xdr:from>
    <xdr:to>
      <xdr:col>15</xdr:col>
      <xdr:colOff>504825</xdr:colOff>
      <xdr:row>17</xdr:row>
      <xdr:rowOff>161925</xdr:rowOff>
    </xdr:to>
    <xdr:sp macro="" textlink="">
      <xdr:nvSpPr>
        <xdr:cNvPr id="36" name="Line 43"/>
        <xdr:cNvSpPr>
          <a:spLocks noChangeShapeType="1"/>
        </xdr:cNvSpPr>
      </xdr:nvSpPr>
      <xdr:spPr bwMode="auto">
        <a:xfrm flipH="1">
          <a:off x="9239250" y="2914650"/>
          <a:ext cx="409575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15</xdr:col>
      <xdr:colOff>95250</xdr:colOff>
      <xdr:row>11</xdr:row>
      <xdr:rowOff>161925</xdr:rowOff>
    </xdr:from>
    <xdr:to>
      <xdr:col>15</xdr:col>
      <xdr:colOff>504825</xdr:colOff>
      <xdr:row>11</xdr:row>
      <xdr:rowOff>161925</xdr:rowOff>
    </xdr:to>
    <xdr:sp macro="" textlink="">
      <xdr:nvSpPr>
        <xdr:cNvPr id="37" name="Line 44"/>
        <xdr:cNvSpPr>
          <a:spLocks noChangeShapeType="1"/>
        </xdr:cNvSpPr>
      </xdr:nvSpPr>
      <xdr:spPr bwMode="auto">
        <a:xfrm flipH="1">
          <a:off x="9239250" y="1943100"/>
          <a:ext cx="409575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12</xdr:col>
      <xdr:colOff>381000</xdr:colOff>
      <xdr:row>9</xdr:row>
      <xdr:rowOff>0</xdr:rowOff>
    </xdr:from>
    <xdr:to>
      <xdr:col>12</xdr:col>
      <xdr:colOff>390525</xdr:colOff>
      <xdr:row>10</xdr:row>
      <xdr:rowOff>123825</xdr:rowOff>
    </xdr:to>
    <xdr:sp macro="" textlink="">
      <xdr:nvSpPr>
        <xdr:cNvPr id="38" name="Line 45"/>
        <xdr:cNvSpPr>
          <a:spLocks noChangeShapeType="1"/>
        </xdr:cNvSpPr>
      </xdr:nvSpPr>
      <xdr:spPr bwMode="auto">
        <a:xfrm>
          <a:off x="7696200" y="1457325"/>
          <a:ext cx="9525" cy="28575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</xdr:col>
      <xdr:colOff>180975</xdr:colOff>
      <xdr:row>39</xdr:row>
      <xdr:rowOff>38100</xdr:rowOff>
    </xdr:from>
    <xdr:to>
      <xdr:col>6</xdr:col>
      <xdr:colOff>638175</xdr:colOff>
      <xdr:row>39</xdr:row>
      <xdr:rowOff>123825</xdr:rowOff>
    </xdr:to>
    <xdr:sp macro="" textlink="">
      <xdr:nvSpPr>
        <xdr:cNvPr id="39" name="Line 46"/>
        <xdr:cNvSpPr>
          <a:spLocks noChangeShapeType="1"/>
        </xdr:cNvSpPr>
      </xdr:nvSpPr>
      <xdr:spPr bwMode="auto">
        <a:xfrm flipH="1" flipV="1">
          <a:off x="3838575" y="6353175"/>
          <a:ext cx="428625" cy="85725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285750</xdr:colOff>
      <xdr:row>28</xdr:row>
      <xdr:rowOff>9525</xdr:rowOff>
    </xdr:from>
    <xdr:to>
      <xdr:col>6</xdr:col>
      <xdr:colOff>314325</xdr:colOff>
      <xdr:row>30</xdr:row>
      <xdr:rowOff>0</xdr:rowOff>
    </xdr:to>
    <xdr:sp macro="" textlink="">
      <xdr:nvSpPr>
        <xdr:cNvPr id="2" name="Line 1"/>
        <xdr:cNvSpPr>
          <a:spLocks noChangeShapeType="1"/>
        </xdr:cNvSpPr>
      </xdr:nvSpPr>
      <xdr:spPr bwMode="auto">
        <a:xfrm flipH="1">
          <a:off x="3333750" y="4543425"/>
          <a:ext cx="638175" cy="314325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</xdr:col>
      <xdr:colOff>266700</xdr:colOff>
      <xdr:row>36</xdr:row>
      <xdr:rowOff>9525</xdr:rowOff>
    </xdr:from>
    <xdr:to>
      <xdr:col>7</xdr:col>
      <xdr:colOff>361950</xdr:colOff>
      <xdr:row>36</xdr:row>
      <xdr:rowOff>123825</xdr:rowOff>
    </xdr:to>
    <xdr:sp macro="" textlink="">
      <xdr:nvSpPr>
        <xdr:cNvPr id="3" name="Oval 21"/>
        <xdr:cNvSpPr>
          <a:spLocks noChangeArrowheads="1"/>
        </xdr:cNvSpPr>
      </xdr:nvSpPr>
      <xdr:spPr bwMode="auto">
        <a:xfrm>
          <a:off x="4533900" y="5838825"/>
          <a:ext cx="95250" cy="114300"/>
        </a:xfrm>
        <a:prstGeom prst="ellipse">
          <a:avLst/>
        </a:prstGeom>
        <a:solidFill>
          <a:srgbClr xmlns:mc="http://schemas.openxmlformats.org/markup-compatibility/2006" xmlns:a14="http://schemas.microsoft.com/office/drawing/2010/main" val="000000" mc:Ignorable="a14" a14:legacySpreadsheetColorIndex="8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</xdr:spPr>
    </xdr:sp>
    <xdr:clientData/>
  </xdr:twoCellAnchor>
  <xdr:twoCellAnchor>
    <xdr:from>
      <xdr:col>9</xdr:col>
      <xdr:colOff>476250</xdr:colOff>
      <xdr:row>26</xdr:row>
      <xdr:rowOff>95250</xdr:rowOff>
    </xdr:from>
    <xdr:to>
      <xdr:col>11</xdr:col>
      <xdr:colOff>466725</xdr:colOff>
      <xdr:row>26</xdr:row>
      <xdr:rowOff>95250</xdr:rowOff>
    </xdr:to>
    <xdr:sp macro="" textlink="">
      <xdr:nvSpPr>
        <xdr:cNvPr id="4" name="Line 28"/>
        <xdr:cNvSpPr>
          <a:spLocks noChangeShapeType="1"/>
        </xdr:cNvSpPr>
      </xdr:nvSpPr>
      <xdr:spPr bwMode="auto">
        <a:xfrm>
          <a:off x="5962650" y="4305300"/>
          <a:ext cx="1209675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</xdr:col>
      <xdr:colOff>66675</xdr:colOff>
      <xdr:row>26</xdr:row>
      <xdr:rowOff>76200</xdr:rowOff>
    </xdr:from>
    <xdr:to>
      <xdr:col>6</xdr:col>
      <xdr:colOff>266700</xdr:colOff>
      <xdr:row>26</xdr:row>
      <xdr:rowOff>76200</xdr:rowOff>
    </xdr:to>
    <xdr:sp macro="" textlink="">
      <xdr:nvSpPr>
        <xdr:cNvPr id="5" name="Line 29"/>
        <xdr:cNvSpPr>
          <a:spLocks noChangeShapeType="1"/>
        </xdr:cNvSpPr>
      </xdr:nvSpPr>
      <xdr:spPr bwMode="auto">
        <a:xfrm flipH="1">
          <a:off x="3724275" y="4286250"/>
          <a:ext cx="200025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</xdr:col>
      <xdr:colOff>333375</xdr:colOff>
      <xdr:row>28</xdr:row>
      <xdr:rowOff>9525</xdr:rowOff>
    </xdr:from>
    <xdr:to>
      <xdr:col>7</xdr:col>
      <xdr:colOff>361950</xdr:colOff>
      <xdr:row>30</xdr:row>
      <xdr:rowOff>0</xdr:rowOff>
    </xdr:to>
    <xdr:sp macro="" textlink="">
      <xdr:nvSpPr>
        <xdr:cNvPr id="6" name="Line 30"/>
        <xdr:cNvSpPr>
          <a:spLocks noChangeShapeType="1"/>
        </xdr:cNvSpPr>
      </xdr:nvSpPr>
      <xdr:spPr bwMode="auto">
        <a:xfrm flipH="1">
          <a:off x="3990975" y="4543425"/>
          <a:ext cx="638175" cy="314325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</xdr:col>
      <xdr:colOff>276225</xdr:colOff>
      <xdr:row>28</xdr:row>
      <xdr:rowOff>19050</xdr:rowOff>
    </xdr:from>
    <xdr:to>
      <xdr:col>8</xdr:col>
      <xdr:colOff>304800</xdr:colOff>
      <xdr:row>30</xdr:row>
      <xdr:rowOff>9525</xdr:rowOff>
    </xdr:to>
    <xdr:sp macro="" textlink="">
      <xdr:nvSpPr>
        <xdr:cNvPr id="7" name="Line 31"/>
        <xdr:cNvSpPr>
          <a:spLocks noChangeShapeType="1"/>
        </xdr:cNvSpPr>
      </xdr:nvSpPr>
      <xdr:spPr bwMode="auto">
        <a:xfrm flipH="1">
          <a:off x="4543425" y="4552950"/>
          <a:ext cx="638175" cy="314325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</xdr:col>
      <xdr:colOff>371475</xdr:colOff>
      <xdr:row>28</xdr:row>
      <xdr:rowOff>9525</xdr:rowOff>
    </xdr:from>
    <xdr:to>
      <xdr:col>9</xdr:col>
      <xdr:colOff>400050</xdr:colOff>
      <xdr:row>30</xdr:row>
      <xdr:rowOff>0</xdr:rowOff>
    </xdr:to>
    <xdr:sp macro="" textlink="">
      <xdr:nvSpPr>
        <xdr:cNvPr id="8" name="Line 32"/>
        <xdr:cNvSpPr>
          <a:spLocks noChangeShapeType="1"/>
        </xdr:cNvSpPr>
      </xdr:nvSpPr>
      <xdr:spPr bwMode="auto">
        <a:xfrm flipH="1">
          <a:off x="5248275" y="4543425"/>
          <a:ext cx="638175" cy="314325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</xdr:col>
      <xdr:colOff>0</xdr:colOff>
      <xdr:row>28</xdr:row>
      <xdr:rowOff>19050</xdr:rowOff>
    </xdr:from>
    <xdr:to>
      <xdr:col>11</xdr:col>
      <xdr:colOff>28575</xdr:colOff>
      <xdr:row>30</xdr:row>
      <xdr:rowOff>9525</xdr:rowOff>
    </xdr:to>
    <xdr:sp macro="" textlink="">
      <xdr:nvSpPr>
        <xdr:cNvPr id="9" name="Line 33"/>
        <xdr:cNvSpPr>
          <a:spLocks noChangeShapeType="1"/>
        </xdr:cNvSpPr>
      </xdr:nvSpPr>
      <xdr:spPr bwMode="auto">
        <a:xfrm flipH="1">
          <a:off x="6096000" y="4552950"/>
          <a:ext cx="638175" cy="314325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11</xdr:col>
      <xdr:colOff>304800</xdr:colOff>
      <xdr:row>28</xdr:row>
      <xdr:rowOff>0</xdr:rowOff>
    </xdr:from>
    <xdr:to>
      <xdr:col>12</xdr:col>
      <xdr:colOff>333375</xdr:colOff>
      <xdr:row>29</xdr:row>
      <xdr:rowOff>161925</xdr:rowOff>
    </xdr:to>
    <xdr:sp macro="" textlink="">
      <xdr:nvSpPr>
        <xdr:cNvPr id="10" name="Line 35"/>
        <xdr:cNvSpPr>
          <a:spLocks noChangeShapeType="1"/>
        </xdr:cNvSpPr>
      </xdr:nvSpPr>
      <xdr:spPr bwMode="auto">
        <a:xfrm flipH="1">
          <a:off x="7010400" y="4533900"/>
          <a:ext cx="638175" cy="32385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</xdr:col>
      <xdr:colOff>447675</xdr:colOff>
      <xdr:row>20</xdr:row>
      <xdr:rowOff>85725</xdr:rowOff>
    </xdr:from>
    <xdr:to>
      <xdr:col>7</xdr:col>
      <xdr:colOff>390525</xdr:colOff>
      <xdr:row>22</xdr:row>
      <xdr:rowOff>38100</xdr:rowOff>
    </xdr:to>
    <xdr:sp macro="" textlink="">
      <xdr:nvSpPr>
        <xdr:cNvPr id="11" name="Line 37"/>
        <xdr:cNvSpPr>
          <a:spLocks noChangeShapeType="1"/>
        </xdr:cNvSpPr>
      </xdr:nvSpPr>
      <xdr:spPr bwMode="auto">
        <a:xfrm flipV="1">
          <a:off x="4105275" y="3324225"/>
          <a:ext cx="552450" cy="276225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</xdr:col>
      <xdr:colOff>390525</xdr:colOff>
      <xdr:row>36</xdr:row>
      <xdr:rowOff>19050</xdr:rowOff>
    </xdr:from>
    <xdr:to>
      <xdr:col>9</xdr:col>
      <xdr:colOff>590550</xdr:colOff>
      <xdr:row>36</xdr:row>
      <xdr:rowOff>142875</xdr:rowOff>
    </xdr:to>
    <xdr:sp macro="" textlink="">
      <xdr:nvSpPr>
        <xdr:cNvPr id="12" name="Freeform 40"/>
        <xdr:cNvSpPr>
          <a:spLocks/>
        </xdr:cNvSpPr>
      </xdr:nvSpPr>
      <xdr:spPr bwMode="auto">
        <a:xfrm>
          <a:off x="4657725" y="5848350"/>
          <a:ext cx="1419225" cy="123825"/>
        </a:xfrm>
        <a:custGeom>
          <a:avLst/>
          <a:gdLst>
            <a:gd name="T0" fmla="*/ 156 w 156"/>
            <a:gd name="T1" fmla="*/ 0 h 13"/>
            <a:gd name="T2" fmla="*/ 156 w 156"/>
            <a:gd name="T3" fmla="*/ 13 h 13"/>
            <a:gd name="T4" fmla="*/ 0 w 156"/>
            <a:gd name="T5" fmla="*/ 13 h 13"/>
          </a:gdLst>
          <a:ahLst/>
          <a:cxnLst>
            <a:cxn ang="0">
              <a:pos x="T0" y="T1"/>
            </a:cxn>
            <a:cxn ang="0">
              <a:pos x="T2" y="T3"/>
            </a:cxn>
            <a:cxn ang="0">
              <a:pos x="T4" y="T5"/>
            </a:cxn>
          </a:cxnLst>
          <a:rect l="0" t="0" r="r" b="b"/>
          <a:pathLst>
            <a:path w="156" h="13">
              <a:moveTo>
                <a:pt x="156" y="0"/>
              </a:moveTo>
              <a:lnTo>
                <a:pt x="156" y="13"/>
              </a:lnTo>
              <a:lnTo>
                <a:pt x="0" y="13"/>
              </a:lnTo>
            </a:path>
          </a:pathLst>
        </a:custGeom>
        <a:noFill/>
        <a:ln w="15875" cap="flat" cmpd="sng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</a:extLst>
      </xdr:spPr>
    </xdr:sp>
    <xdr:clientData/>
  </xdr:twoCellAnchor>
  <xdr:twoCellAnchor>
    <xdr:from>
      <xdr:col>5</xdr:col>
      <xdr:colOff>19050</xdr:colOff>
      <xdr:row>36</xdr:row>
      <xdr:rowOff>9525</xdr:rowOff>
    </xdr:from>
    <xdr:to>
      <xdr:col>7</xdr:col>
      <xdr:colOff>219075</xdr:colOff>
      <xdr:row>36</xdr:row>
      <xdr:rowOff>142875</xdr:rowOff>
    </xdr:to>
    <xdr:sp macro="" textlink="">
      <xdr:nvSpPr>
        <xdr:cNvPr id="13" name="Freeform 41"/>
        <xdr:cNvSpPr>
          <a:spLocks/>
        </xdr:cNvSpPr>
      </xdr:nvSpPr>
      <xdr:spPr bwMode="auto">
        <a:xfrm>
          <a:off x="3067050" y="5838825"/>
          <a:ext cx="1419225" cy="133350"/>
        </a:xfrm>
        <a:custGeom>
          <a:avLst/>
          <a:gdLst>
            <a:gd name="T0" fmla="*/ 0 w 149"/>
            <a:gd name="T1" fmla="*/ 0 h 14"/>
            <a:gd name="T2" fmla="*/ 0 w 149"/>
            <a:gd name="T3" fmla="*/ 14 h 14"/>
            <a:gd name="T4" fmla="*/ 149 w 149"/>
            <a:gd name="T5" fmla="*/ 14 h 14"/>
          </a:gdLst>
          <a:ahLst/>
          <a:cxnLst>
            <a:cxn ang="0">
              <a:pos x="T0" y="T1"/>
            </a:cxn>
            <a:cxn ang="0">
              <a:pos x="T2" y="T3"/>
            </a:cxn>
            <a:cxn ang="0">
              <a:pos x="T4" y="T5"/>
            </a:cxn>
          </a:cxnLst>
          <a:rect l="0" t="0" r="r" b="b"/>
          <a:pathLst>
            <a:path w="149" h="14">
              <a:moveTo>
                <a:pt x="0" y="0"/>
              </a:moveTo>
              <a:lnTo>
                <a:pt x="0" y="14"/>
              </a:lnTo>
              <a:lnTo>
                <a:pt x="149" y="14"/>
              </a:lnTo>
            </a:path>
          </a:pathLst>
        </a:custGeom>
        <a:noFill/>
        <a:ln w="15875" cap="flat" cmpd="sng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</a:extLst>
      </xdr:spPr>
    </xdr:sp>
    <xdr:clientData/>
  </xdr:twoCellAnchor>
  <xdr:twoCellAnchor>
    <xdr:from>
      <xdr:col>9</xdr:col>
      <xdr:colOff>409575</xdr:colOff>
      <xdr:row>36</xdr:row>
      <xdr:rowOff>76200</xdr:rowOff>
    </xdr:from>
    <xdr:to>
      <xdr:col>10</xdr:col>
      <xdr:colOff>438150</xdr:colOff>
      <xdr:row>36</xdr:row>
      <xdr:rowOff>104775</xdr:rowOff>
    </xdr:to>
    <xdr:sp macro="" textlink="">
      <xdr:nvSpPr>
        <xdr:cNvPr id="14" name="Line 42"/>
        <xdr:cNvSpPr>
          <a:spLocks noChangeShapeType="1"/>
        </xdr:cNvSpPr>
      </xdr:nvSpPr>
      <xdr:spPr bwMode="auto">
        <a:xfrm flipH="1" flipV="1">
          <a:off x="5895975" y="5905500"/>
          <a:ext cx="638175" cy="28575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</xdr:col>
      <xdr:colOff>161925</xdr:colOff>
      <xdr:row>36</xdr:row>
      <xdr:rowOff>142875</xdr:rowOff>
    </xdr:from>
    <xdr:to>
      <xdr:col>7</xdr:col>
      <xdr:colOff>457200</xdr:colOff>
      <xdr:row>37</xdr:row>
      <xdr:rowOff>38100</xdr:rowOff>
    </xdr:to>
    <xdr:sp macro="" textlink="">
      <xdr:nvSpPr>
        <xdr:cNvPr id="15" name="Rectangle 43"/>
        <xdr:cNvSpPr>
          <a:spLocks noChangeArrowheads="1"/>
        </xdr:cNvSpPr>
      </xdr:nvSpPr>
      <xdr:spPr bwMode="auto">
        <a:xfrm>
          <a:off x="4429125" y="5972175"/>
          <a:ext cx="295275" cy="5715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sp>
    <xdr:clientData/>
  </xdr:twoCellAnchor>
  <xdr:twoCellAnchor>
    <xdr:from>
      <xdr:col>7</xdr:col>
      <xdr:colOff>209550</xdr:colOff>
      <xdr:row>37</xdr:row>
      <xdr:rowOff>47625</xdr:rowOff>
    </xdr:from>
    <xdr:to>
      <xdr:col>8</xdr:col>
      <xdr:colOff>228600</xdr:colOff>
      <xdr:row>38</xdr:row>
      <xdr:rowOff>114300</xdr:rowOff>
    </xdr:to>
    <xdr:sp macro="" textlink="">
      <xdr:nvSpPr>
        <xdr:cNvPr id="16" name="Line 44"/>
        <xdr:cNvSpPr>
          <a:spLocks noChangeShapeType="1"/>
        </xdr:cNvSpPr>
      </xdr:nvSpPr>
      <xdr:spPr bwMode="auto">
        <a:xfrm>
          <a:off x="4476750" y="6038850"/>
          <a:ext cx="628650" cy="22860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</xdr:col>
      <xdr:colOff>409575</xdr:colOff>
      <xdr:row>37</xdr:row>
      <xdr:rowOff>57150</xdr:rowOff>
    </xdr:from>
    <xdr:to>
      <xdr:col>8</xdr:col>
      <xdr:colOff>304800</xdr:colOff>
      <xdr:row>38</xdr:row>
      <xdr:rowOff>85725</xdr:rowOff>
    </xdr:to>
    <xdr:sp macro="" textlink="">
      <xdr:nvSpPr>
        <xdr:cNvPr id="17" name="Line 45"/>
        <xdr:cNvSpPr>
          <a:spLocks noChangeShapeType="1"/>
        </xdr:cNvSpPr>
      </xdr:nvSpPr>
      <xdr:spPr bwMode="auto">
        <a:xfrm>
          <a:off x="4676775" y="6048375"/>
          <a:ext cx="504825" cy="19050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</xdr:col>
      <xdr:colOff>209550</xdr:colOff>
      <xdr:row>36</xdr:row>
      <xdr:rowOff>142875</xdr:rowOff>
    </xdr:from>
    <xdr:to>
      <xdr:col>7</xdr:col>
      <xdr:colOff>209550</xdr:colOff>
      <xdr:row>37</xdr:row>
      <xdr:rowOff>57150</xdr:rowOff>
    </xdr:to>
    <xdr:sp macro="" textlink="">
      <xdr:nvSpPr>
        <xdr:cNvPr id="18" name="Line 46"/>
        <xdr:cNvSpPr>
          <a:spLocks noChangeShapeType="1"/>
        </xdr:cNvSpPr>
      </xdr:nvSpPr>
      <xdr:spPr bwMode="auto">
        <a:xfrm flipH="1" flipV="1">
          <a:off x="4476750" y="5972175"/>
          <a:ext cx="0" cy="76200"/>
        </a:xfrm>
        <a:prstGeom prst="line">
          <a:avLst/>
        </a:prstGeom>
        <a:noFill/>
        <a:ln w="1587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</xdr:col>
      <xdr:colOff>409575</xdr:colOff>
      <xdr:row>36</xdr:row>
      <xdr:rowOff>152400</xdr:rowOff>
    </xdr:from>
    <xdr:to>
      <xdr:col>7</xdr:col>
      <xdr:colOff>409575</xdr:colOff>
      <xdr:row>37</xdr:row>
      <xdr:rowOff>66675</xdr:rowOff>
    </xdr:to>
    <xdr:sp macro="" textlink="">
      <xdr:nvSpPr>
        <xdr:cNvPr id="19" name="Line 48"/>
        <xdr:cNvSpPr>
          <a:spLocks noChangeShapeType="1"/>
        </xdr:cNvSpPr>
      </xdr:nvSpPr>
      <xdr:spPr bwMode="auto">
        <a:xfrm flipV="1">
          <a:off x="4676775" y="5981700"/>
          <a:ext cx="0" cy="76200"/>
        </a:xfrm>
        <a:prstGeom prst="line">
          <a:avLst/>
        </a:prstGeom>
        <a:noFill/>
        <a:ln w="19050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</xdr:col>
      <xdr:colOff>371475</xdr:colOff>
      <xdr:row>38</xdr:row>
      <xdr:rowOff>95250</xdr:rowOff>
    </xdr:from>
    <xdr:to>
      <xdr:col>9</xdr:col>
      <xdr:colOff>142875</xdr:colOff>
      <xdr:row>38</xdr:row>
      <xdr:rowOff>104775</xdr:rowOff>
    </xdr:to>
    <xdr:sp macro="" textlink="">
      <xdr:nvSpPr>
        <xdr:cNvPr id="20" name="Line 50"/>
        <xdr:cNvSpPr>
          <a:spLocks noChangeShapeType="1"/>
        </xdr:cNvSpPr>
      </xdr:nvSpPr>
      <xdr:spPr bwMode="auto">
        <a:xfrm flipH="1">
          <a:off x="5248275" y="6248400"/>
          <a:ext cx="381000" cy="9525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</xdr:col>
      <xdr:colOff>514350</xdr:colOff>
      <xdr:row>37</xdr:row>
      <xdr:rowOff>38100</xdr:rowOff>
    </xdr:from>
    <xdr:to>
      <xdr:col>7</xdr:col>
      <xdr:colOff>657225</xdr:colOff>
      <xdr:row>37</xdr:row>
      <xdr:rowOff>76200</xdr:rowOff>
    </xdr:to>
    <xdr:sp macro="" textlink="">
      <xdr:nvSpPr>
        <xdr:cNvPr id="21" name="Line 51"/>
        <xdr:cNvSpPr>
          <a:spLocks noChangeShapeType="1"/>
        </xdr:cNvSpPr>
      </xdr:nvSpPr>
      <xdr:spPr bwMode="auto">
        <a:xfrm flipH="1" flipV="1">
          <a:off x="4781550" y="6029325"/>
          <a:ext cx="95250" cy="3810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</xdr:col>
      <xdr:colOff>381000</xdr:colOff>
      <xdr:row>35</xdr:row>
      <xdr:rowOff>76200</xdr:rowOff>
    </xdr:from>
    <xdr:to>
      <xdr:col>4</xdr:col>
      <xdr:colOff>628650</xdr:colOff>
      <xdr:row>35</xdr:row>
      <xdr:rowOff>133350</xdr:rowOff>
    </xdr:to>
    <xdr:sp macro="" textlink="">
      <xdr:nvSpPr>
        <xdr:cNvPr id="22" name="Line 52"/>
        <xdr:cNvSpPr>
          <a:spLocks noChangeShapeType="1"/>
        </xdr:cNvSpPr>
      </xdr:nvSpPr>
      <xdr:spPr bwMode="auto">
        <a:xfrm>
          <a:off x="2819400" y="5743575"/>
          <a:ext cx="228600" cy="5715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</xdr:col>
      <xdr:colOff>190500</xdr:colOff>
      <xdr:row>37</xdr:row>
      <xdr:rowOff>19050</xdr:rowOff>
    </xdr:from>
    <xdr:to>
      <xdr:col>6</xdr:col>
      <xdr:colOff>333375</xdr:colOff>
      <xdr:row>38</xdr:row>
      <xdr:rowOff>0</xdr:rowOff>
    </xdr:to>
    <xdr:sp macro="" textlink="">
      <xdr:nvSpPr>
        <xdr:cNvPr id="23" name="Line 53"/>
        <xdr:cNvSpPr>
          <a:spLocks noChangeShapeType="1"/>
        </xdr:cNvSpPr>
      </xdr:nvSpPr>
      <xdr:spPr bwMode="auto">
        <a:xfrm flipV="1">
          <a:off x="3848100" y="6010275"/>
          <a:ext cx="142875" cy="142875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</xdr:col>
      <xdr:colOff>38100</xdr:colOff>
      <xdr:row>35</xdr:row>
      <xdr:rowOff>47625</xdr:rowOff>
    </xdr:from>
    <xdr:to>
      <xdr:col>8</xdr:col>
      <xdr:colOff>238125</xdr:colOff>
      <xdr:row>35</xdr:row>
      <xdr:rowOff>47625</xdr:rowOff>
    </xdr:to>
    <xdr:sp macro="" textlink="">
      <xdr:nvSpPr>
        <xdr:cNvPr id="24" name="Line 54"/>
        <xdr:cNvSpPr>
          <a:spLocks noChangeShapeType="1"/>
        </xdr:cNvSpPr>
      </xdr:nvSpPr>
      <xdr:spPr bwMode="auto">
        <a:xfrm flipH="1">
          <a:off x="3086100" y="5715000"/>
          <a:ext cx="2028825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</xdr:col>
      <xdr:colOff>419100</xdr:colOff>
      <xdr:row>35</xdr:row>
      <xdr:rowOff>57150</xdr:rowOff>
    </xdr:from>
    <xdr:to>
      <xdr:col>10</xdr:col>
      <xdr:colOff>0</xdr:colOff>
      <xdr:row>35</xdr:row>
      <xdr:rowOff>57150</xdr:rowOff>
    </xdr:to>
    <xdr:sp macro="" textlink="">
      <xdr:nvSpPr>
        <xdr:cNvPr id="25" name="Line 56"/>
        <xdr:cNvSpPr>
          <a:spLocks noChangeShapeType="1"/>
        </xdr:cNvSpPr>
      </xdr:nvSpPr>
      <xdr:spPr bwMode="auto">
        <a:xfrm>
          <a:off x="5905500" y="5724525"/>
          <a:ext cx="190500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</xdr:col>
      <xdr:colOff>266700</xdr:colOff>
      <xdr:row>36</xdr:row>
      <xdr:rowOff>9525</xdr:rowOff>
    </xdr:from>
    <xdr:to>
      <xdr:col>7</xdr:col>
      <xdr:colOff>361950</xdr:colOff>
      <xdr:row>36</xdr:row>
      <xdr:rowOff>123825</xdr:rowOff>
    </xdr:to>
    <xdr:sp macro="" textlink="">
      <xdr:nvSpPr>
        <xdr:cNvPr id="26" name="Oval 57"/>
        <xdr:cNvSpPr>
          <a:spLocks noChangeArrowheads="1"/>
        </xdr:cNvSpPr>
      </xdr:nvSpPr>
      <xdr:spPr bwMode="auto">
        <a:xfrm>
          <a:off x="4533900" y="5838825"/>
          <a:ext cx="95250" cy="114300"/>
        </a:xfrm>
        <a:prstGeom prst="ellipse">
          <a:avLst/>
        </a:prstGeom>
        <a:solidFill>
          <a:srgbClr xmlns:mc="http://schemas.openxmlformats.org/markup-compatibility/2006" xmlns:a14="http://schemas.microsoft.com/office/drawing/2010/main" val="000000" mc:Ignorable="a14" a14:legacySpreadsheetColorIndex="8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</xdr:spPr>
    </xdr:sp>
    <xdr:clientData/>
  </xdr:twoCellAnchor>
  <xdr:twoCellAnchor>
    <xdr:from>
      <xdr:col>7</xdr:col>
      <xdr:colOff>390525</xdr:colOff>
      <xdr:row>36</xdr:row>
      <xdr:rowOff>19050</xdr:rowOff>
    </xdr:from>
    <xdr:to>
      <xdr:col>9</xdr:col>
      <xdr:colOff>590550</xdr:colOff>
      <xdr:row>36</xdr:row>
      <xdr:rowOff>142875</xdr:rowOff>
    </xdr:to>
    <xdr:sp macro="" textlink="">
      <xdr:nvSpPr>
        <xdr:cNvPr id="27" name="Freeform 58"/>
        <xdr:cNvSpPr>
          <a:spLocks/>
        </xdr:cNvSpPr>
      </xdr:nvSpPr>
      <xdr:spPr bwMode="auto">
        <a:xfrm>
          <a:off x="4657725" y="5848350"/>
          <a:ext cx="1419225" cy="123825"/>
        </a:xfrm>
        <a:custGeom>
          <a:avLst/>
          <a:gdLst>
            <a:gd name="T0" fmla="*/ 156 w 156"/>
            <a:gd name="T1" fmla="*/ 0 h 13"/>
            <a:gd name="T2" fmla="*/ 156 w 156"/>
            <a:gd name="T3" fmla="*/ 13 h 13"/>
            <a:gd name="T4" fmla="*/ 0 w 156"/>
            <a:gd name="T5" fmla="*/ 13 h 13"/>
          </a:gdLst>
          <a:ahLst/>
          <a:cxnLst>
            <a:cxn ang="0">
              <a:pos x="T0" y="T1"/>
            </a:cxn>
            <a:cxn ang="0">
              <a:pos x="T2" y="T3"/>
            </a:cxn>
            <a:cxn ang="0">
              <a:pos x="T4" y="T5"/>
            </a:cxn>
          </a:cxnLst>
          <a:rect l="0" t="0" r="r" b="b"/>
          <a:pathLst>
            <a:path w="156" h="13">
              <a:moveTo>
                <a:pt x="156" y="0"/>
              </a:moveTo>
              <a:lnTo>
                <a:pt x="156" y="13"/>
              </a:lnTo>
              <a:lnTo>
                <a:pt x="0" y="13"/>
              </a:lnTo>
            </a:path>
          </a:pathLst>
        </a:custGeom>
        <a:noFill/>
        <a:ln w="25400" cap="flat" cmpd="sng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</a:extLst>
      </xdr:spPr>
    </xdr:sp>
    <xdr:clientData/>
  </xdr:twoCellAnchor>
  <xdr:twoCellAnchor>
    <xdr:from>
      <xdr:col>5</xdr:col>
      <xdr:colOff>19050</xdr:colOff>
      <xdr:row>36</xdr:row>
      <xdr:rowOff>9525</xdr:rowOff>
    </xdr:from>
    <xdr:to>
      <xdr:col>7</xdr:col>
      <xdr:colOff>219075</xdr:colOff>
      <xdr:row>36</xdr:row>
      <xdr:rowOff>142875</xdr:rowOff>
    </xdr:to>
    <xdr:sp macro="" textlink="">
      <xdr:nvSpPr>
        <xdr:cNvPr id="28" name="Freeform 59"/>
        <xdr:cNvSpPr>
          <a:spLocks/>
        </xdr:cNvSpPr>
      </xdr:nvSpPr>
      <xdr:spPr bwMode="auto">
        <a:xfrm>
          <a:off x="3067050" y="5838825"/>
          <a:ext cx="1419225" cy="133350"/>
        </a:xfrm>
        <a:custGeom>
          <a:avLst/>
          <a:gdLst>
            <a:gd name="T0" fmla="*/ 0 w 149"/>
            <a:gd name="T1" fmla="*/ 0 h 14"/>
            <a:gd name="T2" fmla="*/ 0 w 149"/>
            <a:gd name="T3" fmla="*/ 14 h 14"/>
            <a:gd name="T4" fmla="*/ 149 w 149"/>
            <a:gd name="T5" fmla="*/ 14 h 14"/>
          </a:gdLst>
          <a:ahLst/>
          <a:cxnLst>
            <a:cxn ang="0">
              <a:pos x="T0" y="T1"/>
            </a:cxn>
            <a:cxn ang="0">
              <a:pos x="T2" y="T3"/>
            </a:cxn>
            <a:cxn ang="0">
              <a:pos x="T4" y="T5"/>
            </a:cxn>
          </a:cxnLst>
          <a:rect l="0" t="0" r="r" b="b"/>
          <a:pathLst>
            <a:path w="149" h="14">
              <a:moveTo>
                <a:pt x="0" y="0"/>
              </a:moveTo>
              <a:lnTo>
                <a:pt x="0" y="14"/>
              </a:lnTo>
              <a:lnTo>
                <a:pt x="149" y="14"/>
              </a:lnTo>
            </a:path>
          </a:pathLst>
        </a:custGeom>
        <a:noFill/>
        <a:ln w="25400" cap="flat" cmpd="sng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</a:extLst>
      </xdr:spPr>
    </xdr:sp>
    <xdr:clientData/>
  </xdr:twoCellAnchor>
  <xdr:twoCellAnchor>
    <xdr:from>
      <xdr:col>9</xdr:col>
      <xdr:colOff>409575</xdr:colOff>
      <xdr:row>36</xdr:row>
      <xdr:rowOff>76200</xdr:rowOff>
    </xdr:from>
    <xdr:to>
      <xdr:col>10</xdr:col>
      <xdr:colOff>438150</xdr:colOff>
      <xdr:row>36</xdr:row>
      <xdr:rowOff>104775</xdr:rowOff>
    </xdr:to>
    <xdr:sp macro="" textlink="">
      <xdr:nvSpPr>
        <xdr:cNvPr id="29" name="Line 60"/>
        <xdr:cNvSpPr>
          <a:spLocks noChangeShapeType="1"/>
        </xdr:cNvSpPr>
      </xdr:nvSpPr>
      <xdr:spPr bwMode="auto">
        <a:xfrm flipH="1" flipV="1">
          <a:off x="5895975" y="5905500"/>
          <a:ext cx="638175" cy="28575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</xdr:col>
      <xdr:colOff>161925</xdr:colOff>
      <xdr:row>36</xdr:row>
      <xdr:rowOff>142875</xdr:rowOff>
    </xdr:from>
    <xdr:to>
      <xdr:col>7</xdr:col>
      <xdr:colOff>457200</xdr:colOff>
      <xdr:row>37</xdr:row>
      <xdr:rowOff>38100</xdr:rowOff>
    </xdr:to>
    <xdr:sp macro="" textlink="">
      <xdr:nvSpPr>
        <xdr:cNvPr id="30" name="Rectangle 61"/>
        <xdr:cNvSpPr>
          <a:spLocks noChangeArrowheads="1"/>
        </xdr:cNvSpPr>
      </xdr:nvSpPr>
      <xdr:spPr bwMode="auto">
        <a:xfrm>
          <a:off x="4429125" y="5972175"/>
          <a:ext cx="295275" cy="5715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sp>
    <xdr:clientData/>
  </xdr:twoCellAnchor>
  <xdr:twoCellAnchor>
    <xdr:from>
      <xdr:col>7</xdr:col>
      <xdr:colOff>209550</xdr:colOff>
      <xdr:row>36</xdr:row>
      <xdr:rowOff>142875</xdr:rowOff>
    </xdr:from>
    <xdr:to>
      <xdr:col>7</xdr:col>
      <xdr:colOff>209550</xdr:colOff>
      <xdr:row>37</xdr:row>
      <xdr:rowOff>57150</xdr:rowOff>
    </xdr:to>
    <xdr:sp macro="" textlink="">
      <xdr:nvSpPr>
        <xdr:cNvPr id="31" name="Line 62"/>
        <xdr:cNvSpPr>
          <a:spLocks noChangeShapeType="1"/>
        </xdr:cNvSpPr>
      </xdr:nvSpPr>
      <xdr:spPr bwMode="auto">
        <a:xfrm flipH="1" flipV="1">
          <a:off x="4476750" y="5972175"/>
          <a:ext cx="0" cy="76200"/>
        </a:xfrm>
        <a:prstGeom prst="line">
          <a:avLst/>
        </a:prstGeom>
        <a:noFill/>
        <a:ln w="1587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</xdr:col>
      <xdr:colOff>409575</xdr:colOff>
      <xdr:row>36</xdr:row>
      <xdr:rowOff>152400</xdr:rowOff>
    </xdr:from>
    <xdr:to>
      <xdr:col>7</xdr:col>
      <xdr:colOff>409575</xdr:colOff>
      <xdr:row>37</xdr:row>
      <xdr:rowOff>66675</xdr:rowOff>
    </xdr:to>
    <xdr:sp macro="" textlink="">
      <xdr:nvSpPr>
        <xdr:cNvPr id="32" name="Line 63"/>
        <xdr:cNvSpPr>
          <a:spLocks noChangeShapeType="1"/>
        </xdr:cNvSpPr>
      </xdr:nvSpPr>
      <xdr:spPr bwMode="auto">
        <a:xfrm flipV="1">
          <a:off x="4676775" y="5981700"/>
          <a:ext cx="0" cy="76200"/>
        </a:xfrm>
        <a:prstGeom prst="line">
          <a:avLst/>
        </a:prstGeom>
        <a:noFill/>
        <a:ln w="19050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285750</xdr:colOff>
      <xdr:row>29</xdr:row>
      <xdr:rowOff>9525</xdr:rowOff>
    </xdr:from>
    <xdr:to>
      <xdr:col>6</xdr:col>
      <xdr:colOff>314325</xdr:colOff>
      <xdr:row>31</xdr:row>
      <xdr:rowOff>0</xdr:rowOff>
    </xdr:to>
    <xdr:sp macro="" textlink="">
      <xdr:nvSpPr>
        <xdr:cNvPr id="2" name="Line 1"/>
        <xdr:cNvSpPr>
          <a:spLocks noChangeShapeType="1"/>
        </xdr:cNvSpPr>
      </xdr:nvSpPr>
      <xdr:spPr bwMode="auto">
        <a:xfrm flipH="1">
          <a:off x="3333750" y="4705350"/>
          <a:ext cx="638175" cy="314325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</xdr:col>
      <xdr:colOff>266700</xdr:colOff>
      <xdr:row>37</xdr:row>
      <xdr:rowOff>9525</xdr:rowOff>
    </xdr:from>
    <xdr:to>
      <xdr:col>7</xdr:col>
      <xdr:colOff>361950</xdr:colOff>
      <xdr:row>37</xdr:row>
      <xdr:rowOff>123825</xdr:rowOff>
    </xdr:to>
    <xdr:sp macro="" textlink="">
      <xdr:nvSpPr>
        <xdr:cNvPr id="3" name="Oval 21"/>
        <xdr:cNvSpPr>
          <a:spLocks noChangeArrowheads="1"/>
        </xdr:cNvSpPr>
      </xdr:nvSpPr>
      <xdr:spPr bwMode="auto">
        <a:xfrm>
          <a:off x="4533900" y="6000750"/>
          <a:ext cx="95250" cy="114300"/>
        </a:xfrm>
        <a:prstGeom prst="ellipse">
          <a:avLst/>
        </a:prstGeom>
        <a:solidFill>
          <a:srgbClr xmlns:mc="http://schemas.openxmlformats.org/markup-compatibility/2006" xmlns:a14="http://schemas.microsoft.com/office/drawing/2010/main" val="000000" mc:Ignorable="a14" a14:legacySpreadsheetColorIndex="8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</xdr:spPr>
    </xdr:sp>
    <xdr:clientData/>
  </xdr:twoCellAnchor>
  <xdr:twoCellAnchor>
    <xdr:from>
      <xdr:col>9</xdr:col>
      <xdr:colOff>533400</xdr:colOff>
      <xdr:row>27</xdr:row>
      <xdr:rowOff>104775</xdr:rowOff>
    </xdr:from>
    <xdr:to>
      <xdr:col>11</xdr:col>
      <xdr:colOff>600075</xdr:colOff>
      <xdr:row>27</xdr:row>
      <xdr:rowOff>104775</xdr:rowOff>
    </xdr:to>
    <xdr:sp macro="" textlink="">
      <xdr:nvSpPr>
        <xdr:cNvPr id="4" name="Line 28"/>
        <xdr:cNvSpPr>
          <a:spLocks noChangeShapeType="1"/>
        </xdr:cNvSpPr>
      </xdr:nvSpPr>
      <xdr:spPr bwMode="auto">
        <a:xfrm>
          <a:off x="6019800" y="4476750"/>
          <a:ext cx="1285875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</xdr:col>
      <xdr:colOff>66675</xdr:colOff>
      <xdr:row>27</xdr:row>
      <xdr:rowOff>76200</xdr:rowOff>
    </xdr:from>
    <xdr:to>
      <xdr:col>6</xdr:col>
      <xdr:colOff>266700</xdr:colOff>
      <xdr:row>27</xdr:row>
      <xdr:rowOff>76200</xdr:rowOff>
    </xdr:to>
    <xdr:sp macro="" textlink="">
      <xdr:nvSpPr>
        <xdr:cNvPr id="5" name="Line 29"/>
        <xdr:cNvSpPr>
          <a:spLocks noChangeShapeType="1"/>
        </xdr:cNvSpPr>
      </xdr:nvSpPr>
      <xdr:spPr bwMode="auto">
        <a:xfrm flipH="1">
          <a:off x="3724275" y="4448175"/>
          <a:ext cx="200025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</xdr:col>
      <xdr:colOff>333375</xdr:colOff>
      <xdr:row>29</xdr:row>
      <xdr:rowOff>9525</xdr:rowOff>
    </xdr:from>
    <xdr:to>
      <xdr:col>7</xdr:col>
      <xdr:colOff>361950</xdr:colOff>
      <xdr:row>31</xdr:row>
      <xdr:rowOff>0</xdr:rowOff>
    </xdr:to>
    <xdr:sp macro="" textlink="">
      <xdr:nvSpPr>
        <xdr:cNvPr id="6" name="Line 30"/>
        <xdr:cNvSpPr>
          <a:spLocks noChangeShapeType="1"/>
        </xdr:cNvSpPr>
      </xdr:nvSpPr>
      <xdr:spPr bwMode="auto">
        <a:xfrm flipH="1">
          <a:off x="3990975" y="4705350"/>
          <a:ext cx="638175" cy="314325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</xdr:col>
      <xdr:colOff>276225</xdr:colOff>
      <xdr:row>29</xdr:row>
      <xdr:rowOff>19050</xdr:rowOff>
    </xdr:from>
    <xdr:to>
      <xdr:col>8</xdr:col>
      <xdr:colOff>304800</xdr:colOff>
      <xdr:row>31</xdr:row>
      <xdr:rowOff>9525</xdr:rowOff>
    </xdr:to>
    <xdr:sp macro="" textlink="">
      <xdr:nvSpPr>
        <xdr:cNvPr id="7" name="Line 31"/>
        <xdr:cNvSpPr>
          <a:spLocks noChangeShapeType="1"/>
        </xdr:cNvSpPr>
      </xdr:nvSpPr>
      <xdr:spPr bwMode="auto">
        <a:xfrm flipH="1">
          <a:off x="4543425" y="4714875"/>
          <a:ext cx="638175" cy="314325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</xdr:col>
      <xdr:colOff>371475</xdr:colOff>
      <xdr:row>29</xdr:row>
      <xdr:rowOff>9525</xdr:rowOff>
    </xdr:from>
    <xdr:to>
      <xdr:col>9</xdr:col>
      <xdr:colOff>400050</xdr:colOff>
      <xdr:row>31</xdr:row>
      <xdr:rowOff>0</xdr:rowOff>
    </xdr:to>
    <xdr:sp macro="" textlink="">
      <xdr:nvSpPr>
        <xdr:cNvPr id="8" name="Line 32"/>
        <xdr:cNvSpPr>
          <a:spLocks noChangeShapeType="1"/>
        </xdr:cNvSpPr>
      </xdr:nvSpPr>
      <xdr:spPr bwMode="auto">
        <a:xfrm flipH="1">
          <a:off x="5248275" y="4705350"/>
          <a:ext cx="638175" cy="314325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</xdr:col>
      <xdr:colOff>266700</xdr:colOff>
      <xdr:row>29</xdr:row>
      <xdr:rowOff>28575</xdr:rowOff>
    </xdr:from>
    <xdr:to>
      <xdr:col>10</xdr:col>
      <xdr:colOff>295275</xdr:colOff>
      <xdr:row>31</xdr:row>
      <xdr:rowOff>19050</xdr:rowOff>
    </xdr:to>
    <xdr:sp macro="" textlink="">
      <xdr:nvSpPr>
        <xdr:cNvPr id="9" name="Line 33"/>
        <xdr:cNvSpPr>
          <a:spLocks noChangeShapeType="1"/>
        </xdr:cNvSpPr>
      </xdr:nvSpPr>
      <xdr:spPr bwMode="auto">
        <a:xfrm flipH="1">
          <a:off x="5753100" y="4724400"/>
          <a:ext cx="638175" cy="314325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</xdr:col>
      <xdr:colOff>447675</xdr:colOff>
      <xdr:row>22</xdr:row>
      <xdr:rowOff>47625</xdr:rowOff>
    </xdr:from>
    <xdr:to>
      <xdr:col>7</xdr:col>
      <xdr:colOff>142875</xdr:colOff>
      <xdr:row>23</xdr:row>
      <xdr:rowOff>38100</xdr:rowOff>
    </xdr:to>
    <xdr:sp macro="" textlink="">
      <xdr:nvSpPr>
        <xdr:cNvPr id="10" name="Line 37"/>
        <xdr:cNvSpPr>
          <a:spLocks noChangeShapeType="1"/>
        </xdr:cNvSpPr>
      </xdr:nvSpPr>
      <xdr:spPr bwMode="auto">
        <a:xfrm flipV="1">
          <a:off x="4105275" y="3609975"/>
          <a:ext cx="304800" cy="15240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</xdr:col>
      <xdr:colOff>390525</xdr:colOff>
      <xdr:row>37</xdr:row>
      <xdr:rowOff>19050</xdr:rowOff>
    </xdr:from>
    <xdr:to>
      <xdr:col>9</xdr:col>
      <xdr:colOff>590550</xdr:colOff>
      <xdr:row>37</xdr:row>
      <xdr:rowOff>142875</xdr:rowOff>
    </xdr:to>
    <xdr:sp macro="" textlink="">
      <xdr:nvSpPr>
        <xdr:cNvPr id="11" name="Freeform 40"/>
        <xdr:cNvSpPr>
          <a:spLocks/>
        </xdr:cNvSpPr>
      </xdr:nvSpPr>
      <xdr:spPr bwMode="auto">
        <a:xfrm>
          <a:off x="4657725" y="6010275"/>
          <a:ext cx="1419225" cy="123825"/>
        </a:xfrm>
        <a:custGeom>
          <a:avLst/>
          <a:gdLst>
            <a:gd name="T0" fmla="*/ 156 w 156"/>
            <a:gd name="T1" fmla="*/ 0 h 13"/>
            <a:gd name="T2" fmla="*/ 156 w 156"/>
            <a:gd name="T3" fmla="*/ 13 h 13"/>
            <a:gd name="T4" fmla="*/ 0 w 156"/>
            <a:gd name="T5" fmla="*/ 13 h 13"/>
          </a:gdLst>
          <a:ahLst/>
          <a:cxnLst>
            <a:cxn ang="0">
              <a:pos x="T0" y="T1"/>
            </a:cxn>
            <a:cxn ang="0">
              <a:pos x="T2" y="T3"/>
            </a:cxn>
            <a:cxn ang="0">
              <a:pos x="T4" y="T5"/>
            </a:cxn>
          </a:cxnLst>
          <a:rect l="0" t="0" r="r" b="b"/>
          <a:pathLst>
            <a:path w="156" h="13">
              <a:moveTo>
                <a:pt x="156" y="0"/>
              </a:moveTo>
              <a:lnTo>
                <a:pt x="156" y="13"/>
              </a:lnTo>
              <a:lnTo>
                <a:pt x="0" y="13"/>
              </a:lnTo>
            </a:path>
          </a:pathLst>
        </a:custGeom>
        <a:noFill/>
        <a:ln w="15875" cap="flat" cmpd="sng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</a:extLst>
      </xdr:spPr>
    </xdr:sp>
    <xdr:clientData/>
  </xdr:twoCellAnchor>
  <xdr:twoCellAnchor>
    <xdr:from>
      <xdr:col>5</xdr:col>
      <xdr:colOff>19050</xdr:colOff>
      <xdr:row>37</xdr:row>
      <xdr:rowOff>9525</xdr:rowOff>
    </xdr:from>
    <xdr:to>
      <xdr:col>7</xdr:col>
      <xdr:colOff>219075</xdr:colOff>
      <xdr:row>37</xdr:row>
      <xdr:rowOff>142875</xdr:rowOff>
    </xdr:to>
    <xdr:sp macro="" textlink="">
      <xdr:nvSpPr>
        <xdr:cNvPr id="12" name="Freeform 41"/>
        <xdr:cNvSpPr>
          <a:spLocks/>
        </xdr:cNvSpPr>
      </xdr:nvSpPr>
      <xdr:spPr bwMode="auto">
        <a:xfrm>
          <a:off x="3067050" y="6000750"/>
          <a:ext cx="1419225" cy="133350"/>
        </a:xfrm>
        <a:custGeom>
          <a:avLst/>
          <a:gdLst>
            <a:gd name="T0" fmla="*/ 0 w 149"/>
            <a:gd name="T1" fmla="*/ 0 h 14"/>
            <a:gd name="T2" fmla="*/ 0 w 149"/>
            <a:gd name="T3" fmla="*/ 14 h 14"/>
            <a:gd name="T4" fmla="*/ 149 w 149"/>
            <a:gd name="T5" fmla="*/ 14 h 14"/>
          </a:gdLst>
          <a:ahLst/>
          <a:cxnLst>
            <a:cxn ang="0">
              <a:pos x="T0" y="T1"/>
            </a:cxn>
            <a:cxn ang="0">
              <a:pos x="T2" y="T3"/>
            </a:cxn>
            <a:cxn ang="0">
              <a:pos x="T4" y="T5"/>
            </a:cxn>
          </a:cxnLst>
          <a:rect l="0" t="0" r="r" b="b"/>
          <a:pathLst>
            <a:path w="149" h="14">
              <a:moveTo>
                <a:pt x="0" y="0"/>
              </a:moveTo>
              <a:lnTo>
                <a:pt x="0" y="14"/>
              </a:lnTo>
              <a:lnTo>
                <a:pt x="149" y="14"/>
              </a:lnTo>
            </a:path>
          </a:pathLst>
        </a:custGeom>
        <a:noFill/>
        <a:ln w="15875" cap="flat" cmpd="sng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</a:extLst>
      </xdr:spPr>
    </xdr:sp>
    <xdr:clientData/>
  </xdr:twoCellAnchor>
  <xdr:twoCellAnchor>
    <xdr:from>
      <xdr:col>9</xdr:col>
      <xdr:colOff>409575</xdr:colOff>
      <xdr:row>37</xdr:row>
      <xdr:rowOff>76200</xdr:rowOff>
    </xdr:from>
    <xdr:to>
      <xdr:col>10</xdr:col>
      <xdr:colOff>438150</xdr:colOff>
      <xdr:row>37</xdr:row>
      <xdr:rowOff>104775</xdr:rowOff>
    </xdr:to>
    <xdr:sp macro="" textlink="">
      <xdr:nvSpPr>
        <xdr:cNvPr id="13" name="Line 42"/>
        <xdr:cNvSpPr>
          <a:spLocks noChangeShapeType="1"/>
        </xdr:cNvSpPr>
      </xdr:nvSpPr>
      <xdr:spPr bwMode="auto">
        <a:xfrm flipH="1" flipV="1">
          <a:off x="5895975" y="6067425"/>
          <a:ext cx="638175" cy="28575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</xdr:col>
      <xdr:colOff>161925</xdr:colOff>
      <xdr:row>37</xdr:row>
      <xdr:rowOff>142875</xdr:rowOff>
    </xdr:from>
    <xdr:to>
      <xdr:col>7</xdr:col>
      <xdr:colOff>457200</xdr:colOff>
      <xdr:row>38</xdr:row>
      <xdr:rowOff>38100</xdr:rowOff>
    </xdr:to>
    <xdr:sp macro="" textlink="">
      <xdr:nvSpPr>
        <xdr:cNvPr id="14" name="Rectangle 43"/>
        <xdr:cNvSpPr>
          <a:spLocks noChangeArrowheads="1"/>
        </xdr:cNvSpPr>
      </xdr:nvSpPr>
      <xdr:spPr bwMode="auto">
        <a:xfrm>
          <a:off x="4429125" y="6134100"/>
          <a:ext cx="295275" cy="5715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sp>
    <xdr:clientData/>
  </xdr:twoCellAnchor>
  <xdr:twoCellAnchor>
    <xdr:from>
      <xdr:col>7</xdr:col>
      <xdr:colOff>209550</xdr:colOff>
      <xdr:row>38</xdr:row>
      <xdr:rowOff>47625</xdr:rowOff>
    </xdr:from>
    <xdr:to>
      <xdr:col>8</xdr:col>
      <xdr:colOff>228600</xdr:colOff>
      <xdr:row>39</xdr:row>
      <xdr:rowOff>114300</xdr:rowOff>
    </xdr:to>
    <xdr:sp macro="" textlink="">
      <xdr:nvSpPr>
        <xdr:cNvPr id="15" name="Line 44"/>
        <xdr:cNvSpPr>
          <a:spLocks noChangeShapeType="1"/>
        </xdr:cNvSpPr>
      </xdr:nvSpPr>
      <xdr:spPr bwMode="auto">
        <a:xfrm>
          <a:off x="4476750" y="6200775"/>
          <a:ext cx="628650" cy="22860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</xdr:col>
      <xdr:colOff>409575</xdr:colOff>
      <xdr:row>38</xdr:row>
      <xdr:rowOff>57150</xdr:rowOff>
    </xdr:from>
    <xdr:to>
      <xdr:col>8</xdr:col>
      <xdr:colOff>304800</xdr:colOff>
      <xdr:row>39</xdr:row>
      <xdr:rowOff>85725</xdr:rowOff>
    </xdr:to>
    <xdr:sp macro="" textlink="">
      <xdr:nvSpPr>
        <xdr:cNvPr id="16" name="Line 45"/>
        <xdr:cNvSpPr>
          <a:spLocks noChangeShapeType="1"/>
        </xdr:cNvSpPr>
      </xdr:nvSpPr>
      <xdr:spPr bwMode="auto">
        <a:xfrm>
          <a:off x="4676775" y="6210300"/>
          <a:ext cx="504825" cy="19050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</xdr:col>
      <xdr:colOff>209550</xdr:colOff>
      <xdr:row>37</xdr:row>
      <xdr:rowOff>142875</xdr:rowOff>
    </xdr:from>
    <xdr:to>
      <xdr:col>7</xdr:col>
      <xdr:colOff>209550</xdr:colOff>
      <xdr:row>38</xdr:row>
      <xdr:rowOff>57150</xdr:rowOff>
    </xdr:to>
    <xdr:sp macro="" textlink="">
      <xdr:nvSpPr>
        <xdr:cNvPr id="17" name="Line 46"/>
        <xdr:cNvSpPr>
          <a:spLocks noChangeShapeType="1"/>
        </xdr:cNvSpPr>
      </xdr:nvSpPr>
      <xdr:spPr bwMode="auto">
        <a:xfrm flipH="1" flipV="1">
          <a:off x="4476750" y="6134100"/>
          <a:ext cx="0" cy="76200"/>
        </a:xfrm>
        <a:prstGeom prst="line">
          <a:avLst/>
        </a:prstGeom>
        <a:noFill/>
        <a:ln w="1587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</xdr:col>
      <xdr:colOff>409575</xdr:colOff>
      <xdr:row>37</xdr:row>
      <xdr:rowOff>152400</xdr:rowOff>
    </xdr:from>
    <xdr:to>
      <xdr:col>7</xdr:col>
      <xdr:colOff>409575</xdr:colOff>
      <xdr:row>38</xdr:row>
      <xdr:rowOff>66675</xdr:rowOff>
    </xdr:to>
    <xdr:sp macro="" textlink="">
      <xdr:nvSpPr>
        <xdr:cNvPr id="18" name="Line 48"/>
        <xdr:cNvSpPr>
          <a:spLocks noChangeShapeType="1"/>
        </xdr:cNvSpPr>
      </xdr:nvSpPr>
      <xdr:spPr bwMode="auto">
        <a:xfrm flipV="1">
          <a:off x="4676775" y="6143625"/>
          <a:ext cx="0" cy="76200"/>
        </a:xfrm>
        <a:prstGeom prst="line">
          <a:avLst/>
        </a:prstGeom>
        <a:noFill/>
        <a:ln w="19050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</xdr:col>
      <xdr:colOff>371475</xdr:colOff>
      <xdr:row>39</xdr:row>
      <xdr:rowOff>95250</xdr:rowOff>
    </xdr:from>
    <xdr:to>
      <xdr:col>9</xdr:col>
      <xdr:colOff>142875</xdr:colOff>
      <xdr:row>39</xdr:row>
      <xdr:rowOff>104775</xdr:rowOff>
    </xdr:to>
    <xdr:sp macro="" textlink="">
      <xdr:nvSpPr>
        <xdr:cNvPr id="19" name="Line 50"/>
        <xdr:cNvSpPr>
          <a:spLocks noChangeShapeType="1"/>
        </xdr:cNvSpPr>
      </xdr:nvSpPr>
      <xdr:spPr bwMode="auto">
        <a:xfrm flipH="1">
          <a:off x="5248275" y="6410325"/>
          <a:ext cx="381000" cy="9525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</xdr:col>
      <xdr:colOff>514350</xdr:colOff>
      <xdr:row>38</xdr:row>
      <xdr:rowOff>38100</xdr:rowOff>
    </xdr:from>
    <xdr:to>
      <xdr:col>7</xdr:col>
      <xdr:colOff>657225</xdr:colOff>
      <xdr:row>38</xdr:row>
      <xdr:rowOff>76200</xdr:rowOff>
    </xdr:to>
    <xdr:sp macro="" textlink="">
      <xdr:nvSpPr>
        <xdr:cNvPr id="20" name="Line 51"/>
        <xdr:cNvSpPr>
          <a:spLocks noChangeShapeType="1"/>
        </xdr:cNvSpPr>
      </xdr:nvSpPr>
      <xdr:spPr bwMode="auto">
        <a:xfrm flipH="1" flipV="1">
          <a:off x="4781550" y="6191250"/>
          <a:ext cx="95250" cy="3810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</xdr:col>
      <xdr:colOff>381000</xdr:colOff>
      <xdr:row>36</xdr:row>
      <xdr:rowOff>76200</xdr:rowOff>
    </xdr:from>
    <xdr:to>
      <xdr:col>4</xdr:col>
      <xdr:colOff>628650</xdr:colOff>
      <xdr:row>36</xdr:row>
      <xdr:rowOff>133350</xdr:rowOff>
    </xdr:to>
    <xdr:sp macro="" textlink="">
      <xdr:nvSpPr>
        <xdr:cNvPr id="21" name="Line 52"/>
        <xdr:cNvSpPr>
          <a:spLocks noChangeShapeType="1"/>
        </xdr:cNvSpPr>
      </xdr:nvSpPr>
      <xdr:spPr bwMode="auto">
        <a:xfrm>
          <a:off x="2819400" y="5905500"/>
          <a:ext cx="228600" cy="5715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</xdr:col>
      <xdr:colOff>190500</xdr:colOff>
      <xdr:row>38</xdr:row>
      <xdr:rowOff>19050</xdr:rowOff>
    </xdr:from>
    <xdr:to>
      <xdr:col>6</xdr:col>
      <xdr:colOff>333375</xdr:colOff>
      <xdr:row>39</xdr:row>
      <xdr:rowOff>0</xdr:rowOff>
    </xdr:to>
    <xdr:sp macro="" textlink="">
      <xdr:nvSpPr>
        <xdr:cNvPr id="22" name="Line 53"/>
        <xdr:cNvSpPr>
          <a:spLocks noChangeShapeType="1"/>
        </xdr:cNvSpPr>
      </xdr:nvSpPr>
      <xdr:spPr bwMode="auto">
        <a:xfrm flipV="1">
          <a:off x="3848100" y="6172200"/>
          <a:ext cx="142875" cy="142875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</xdr:col>
      <xdr:colOff>28575</xdr:colOff>
      <xdr:row>36</xdr:row>
      <xdr:rowOff>104775</xdr:rowOff>
    </xdr:from>
    <xdr:to>
      <xdr:col>7</xdr:col>
      <xdr:colOff>647700</xdr:colOff>
      <xdr:row>36</xdr:row>
      <xdr:rowOff>104775</xdr:rowOff>
    </xdr:to>
    <xdr:sp macro="" textlink="">
      <xdr:nvSpPr>
        <xdr:cNvPr id="23" name="Line 54"/>
        <xdr:cNvSpPr>
          <a:spLocks noChangeShapeType="1"/>
        </xdr:cNvSpPr>
      </xdr:nvSpPr>
      <xdr:spPr bwMode="auto">
        <a:xfrm flipH="1">
          <a:off x="3076575" y="5934075"/>
          <a:ext cx="1800225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</xdr:col>
      <xdr:colOff>419100</xdr:colOff>
      <xdr:row>36</xdr:row>
      <xdr:rowOff>114300</xdr:rowOff>
    </xdr:from>
    <xdr:to>
      <xdr:col>10</xdr:col>
      <xdr:colOff>0</xdr:colOff>
      <xdr:row>36</xdr:row>
      <xdr:rowOff>114300</xdr:rowOff>
    </xdr:to>
    <xdr:sp macro="" textlink="">
      <xdr:nvSpPr>
        <xdr:cNvPr id="24" name="Line 56"/>
        <xdr:cNvSpPr>
          <a:spLocks noChangeShapeType="1"/>
        </xdr:cNvSpPr>
      </xdr:nvSpPr>
      <xdr:spPr bwMode="auto">
        <a:xfrm>
          <a:off x="5905500" y="5943600"/>
          <a:ext cx="190500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</xdr:col>
      <xdr:colOff>19050</xdr:colOff>
      <xdr:row>37</xdr:row>
      <xdr:rowOff>9525</xdr:rowOff>
    </xdr:from>
    <xdr:to>
      <xdr:col>7</xdr:col>
      <xdr:colOff>219075</xdr:colOff>
      <xdr:row>37</xdr:row>
      <xdr:rowOff>142875</xdr:rowOff>
    </xdr:to>
    <xdr:sp macro="" textlink="">
      <xdr:nvSpPr>
        <xdr:cNvPr id="25" name="Freeform 57"/>
        <xdr:cNvSpPr>
          <a:spLocks/>
        </xdr:cNvSpPr>
      </xdr:nvSpPr>
      <xdr:spPr bwMode="auto">
        <a:xfrm>
          <a:off x="3067050" y="6000750"/>
          <a:ext cx="1419225" cy="133350"/>
        </a:xfrm>
        <a:custGeom>
          <a:avLst/>
          <a:gdLst>
            <a:gd name="T0" fmla="*/ 0 w 149"/>
            <a:gd name="T1" fmla="*/ 0 h 14"/>
            <a:gd name="T2" fmla="*/ 0 w 149"/>
            <a:gd name="T3" fmla="*/ 14 h 14"/>
            <a:gd name="T4" fmla="*/ 149 w 149"/>
            <a:gd name="T5" fmla="*/ 14 h 14"/>
          </a:gdLst>
          <a:ahLst/>
          <a:cxnLst>
            <a:cxn ang="0">
              <a:pos x="T0" y="T1"/>
            </a:cxn>
            <a:cxn ang="0">
              <a:pos x="T2" y="T3"/>
            </a:cxn>
            <a:cxn ang="0">
              <a:pos x="T4" y="T5"/>
            </a:cxn>
          </a:cxnLst>
          <a:rect l="0" t="0" r="r" b="b"/>
          <a:pathLst>
            <a:path w="149" h="14">
              <a:moveTo>
                <a:pt x="0" y="0"/>
              </a:moveTo>
              <a:lnTo>
                <a:pt x="0" y="14"/>
              </a:lnTo>
              <a:lnTo>
                <a:pt x="149" y="14"/>
              </a:lnTo>
            </a:path>
          </a:pathLst>
        </a:custGeom>
        <a:noFill/>
        <a:ln w="25400" cap="flat" cmpd="sng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</a:extLst>
      </xdr:spPr>
    </xdr:sp>
    <xdr:clientData/>
  </xdr:twoCellAnchor>
  <xdr:twoCellAnchor>
    <xdr:from>
      <xdr:col>7</xdr:col>
      <xdr:colOff>266700</xdr:colOff>
      <xdr:row>37</xdr:row>
      <xdr:rowOff>9525</xdr:rowOff>
    </xdr:from>
    <xdr:to>
      <xdr:col>7</xdr:col>
      <xdr:colOff>361950</xdr:colOff>
      <xdr:row>37</xdr:row>
      <xdr:rowOff>123825</xdr:rowOff>
    </xdr:to>
    <xdr:sp macro="" textlink="">
      <xdr:nvSpPr>
        <xdr:cNvPr id="26" name="Oval 58"/>
        <xdr:cNvSpPr>
          <a:spLocks noChangeArrowheads="1"/>
        </xdr:cNvSpPr>
      </xdr:nvSpPr>
      <xdr:spPr bwMode="auto">
        <a:xfrm>
          <a:off x="4533900" y="6000750"/>
          <a:ext cx="95250" cy="114300"/>
        </a:xfrm>
        <a:prstGeom prst="ellipse">
          <a:avLst/>
        </a:prstGeom>
        <a:solidFill>
          <a:srgbClr xmlns:mc="http://schemas.openxmlformats.org/markup-compatibility/2006" xmlns:a14="http://schemas.microsoft.com/office/drawing/2010/main" val="000000" mc:Ignorable="a14" a14:legacySpreadsheetColorIndex="8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</xdr:spPr>
    </xdr:sp>
    <xdr:clientData/>
  </xdr:twoCellAnchor>
  <xdr:twoCellAnchor>
    <xdr:from>
      <xdr:col>7</xdr:col>
      <xdr:colOff>390525</xdr:colOff>
      <xdr:row>37</xdr:row>
      <xdr:rowOff>19050</xdr:rowOff>
    </xdr:from>
    <xdr:to>
      <xdr:col>9</xdr:col>
      <xdr:colOff>590550</xdr:colOff>
      <xdr:row>37</xdr:row>
      <xdr:rowOff>142875</xdr:rowOff>
    </xdr:to>
    <xdr:sp macro="" textlink="">
      <xdr:nvSpPr>
        <xdr:cNvPr id="27" name="Freeform 59"/>
        <xdr:cNvSpPr>
          <a:spLocks/>
        </xdr:cNvSpPr>
      </xdr:nvSpPr>
      <xdr:spPr bwMode="auto">
        <a:xfrm>
          <a:off x="4657725" y="6010275"/>
          <a:ext cx="1419225" cy="123825"/>
        </a:xfrm>
        <a:custGeom>
          <a:avLst/>
          <a:gdLst>
            <a:gd name="T0" fmla="*/ 156 w 156"/>
            <a:gd name="T1" fmla="*/ 0 h 13"/>
            <a:gd name="T2" fmla="*/ 156 w 156"/>
            <a:gd name="T3" fmla="*/ 13 h 13"/>
            <a:gd name="T4" fmla="*/ 0 w 156"/>
            <a:gd name="T5" fmla="*/ 13 h 13"/>
          </a:gdLst>
          <a:ahLst/>
          <a:cxnLst>
            <a:cxn ang="0">
              <a:pos x="T0" y="T1"/>
            </a:cxn>
            <a:cxn ang="0">
              <a:pos x="T2" y="T3"/>
            </a:cxn>
            <a:cxn ang="0">
              <a:pos x="T4" y="T5"/>
            </a:cxn>
          </a:cxnLst>
          <a:rect l="0" t="0" r="r" b="b"/>
          <a:pathLst>
            <a:path w="156" h="13">
              <a:moveTo>
                <a:pt x="156" y="0"/>
              </a:moveTo>
              <a:lnTo>
                <a:pt x="156" y="13"/>
              </a:lnTo>
              <a:lnTo>
                <a:pt x="0" y="13"/>
              </a:lnTo>
            </a:path>
          </a:pathLst>
        </a:custGeom>
        <a:noFill/>
        <a:ln w="15875" cap="flat" cmpd="sng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</a:extLst>
      </xdr:spPr>
    </xdr:sp>
    <xdr:clientData/>
  </xdr:twoCellAnchor>
  <xdr:twoCellAnchor>
    <xdr:from>
      <xdr:col>5</xdr:col>
      <xdr:colOff>19050</xdr:colOff>
      <xdr:row>37</xdr:row>
      <xdr:rowOff>9525</xdr:rowOff>
    </xdr:from>
    <xdr:to>
      <xdr:col>7</xdr:col>
      <xdr:colOff>219075</xdr:colOff>
      <xdr:row>37</xdr:row>
      <xdr:rowOff>142875</xdr:rowOff>
    </xdr:to>
    <xdr:sp macro="" textlink="">
      <xdr:nvSpPr>
        <xdr:cNvPr id="28" name="Freeform 60"/>
        <xdr:cNvSpPr>
          <a:spLocks/>
        </xdr:cNvSpPr>
      </xdr:nvSpPr>
      <xdr:spPr bwMode="auto">
        <a:xfrm>
          <a:off x="3067050" y="6000750"/>
          <a:ext cx="1419225" cy="133350"/>
        </a:xfrm>
        <a:custGeom>
          <a:avLst/>
          <a:gdLst>
            <a:gd name="T0" fmla="*/ 0 w 149"/>
            <a:gd name="T1" fmla="*/ 0 h 14"/>
            <a:gd name="T2" fmla="*/ 0 w 149"/>
            <a:gd name="T3" fmla="*/ 14 h 14"/>
            <a:gd name="T4" fmla="*/ 149 w 149"/>
            <a:gd name="T5" fmla="*/ 14 h 14"/>
          </a:gdLst>
          <a:ahLst/>
          <a:cxnLst>
            <a:cxn ang="0">
              <a:pos x="T0" y="T1"/>
            </a:cxn>
            <a:cxn ang="0">
              <a:pos x="T2" y="T3"/>
            </a:cxn>
            <a:cxn ang="0">
              <a:pos x="T4" y="T5"/>
            </a:cxn>
          </a:cxnLst>
          <a:rect l="0" t="0" r="r" b="b"/>
          <a:pathLst>
            <a:path w="149" h="14">
              <a:moveTo>
                <a:pt x="0" y="0"/>
              </a:moveTo>
              <a:lnTo>
                <a:pt x="0" y="14"/>
              </a:lnTo>
              <a:lnTo>
                <a:pt x="149" y="14"/>
              </a:lnTo>
            </a:path>
          </a:pathLst>
        </a:custGeom>
        <a:noFill/>
        <a:ln w="15875" cap="flat" cmpd="sng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</a:extLst>
      </xdr:spPr>
    </xdr:sp>
    <xdr:clientData/>
  </xdr:twoCellAnchor>
  <xdr:twoCellAnchor>
    <xdr:from>
      <xdr:col>9</xdr:col>
      <xdr:colOff>409575</xdr:colOff>
      <xdr:row>37</xdr:row>
      <xdr:rowOff>76200</xdr:rowOff>
    </xdr:from>
    <xdr:to>
      <xdr:col>10</xdr:col>
      <xdr:colOff>438150</xdr:colOff>
      <xdr:row>37</xdr:row>
      <xdr:rowOff>104775</xdr:rowOff>
    </xdr:to>
    <xdr:sp macro="" textlink="">
      <xdr:nvSpPr>
        <xdr:cNvPr id="29" name="Line 61"/>
        <xdr:cNvSpPr>
          <a:spLocks noChangeShapeType="1"/>
        </xdr:cNvSpPr>
      </xdr:nvSpPr>
      <xdr:spPr bwMode="auto">
        <a:xfrm flipH="1" flipV="1">
          <a:off x="5895975" y="6067425"/>
          <a:ext cx="638175" cy="28575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</xdr:col>
      <xdr:colOff>161925</xdr:colOff>
      <xdr:row>37</xdr:row>
      <xdr:rowOff>142875</xdr:rowOff>
    </xdr:from>
    <xdr:to>
      <xdr:col>7</xdr:col>
      <xdr:colOff>457200</xdr:colOff>
      <xdr:row>38</xdr:row>
      <xdr:rowOff>38100</xdr:rowOff>
    </xdr:to>
    <xdr:sp macro="" textlink="">
      <xdr:nvSpPr>
        <xdr:cNvPr id="30" name="Rectangle 62"/>
        <xdr:cNvSpPr>
          <a:spLocks noChangeArrowheads="1"/>
        </xdr:cNvSpPr>
      </xdr:nvSpPr>
      <xdr:spPr bwMode="auto">
        <a:xfrm>
          <a:off x="4429125" y="6134100"/>
          <a:ext cx="295275" cy="5715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sp>
    <xdr:clientData/>
  </xdr:twoCellAnchor>
  <xdr:twoCellAnchor>
    <xdr:from>
      <xdr:col>7</xdr:col>
      <xdr:colOff>209550</xdr:colOff>
      <xdr:row>37</xdr:row>
      <xdr:rowOff>142875</xdr:rowOff>
    </xdr:from>
    <xdr:to>
      <xdr:col>7</xdr:col>
      <xdr:colOff>209550</xdr:colOff>
      <xdr:row>38</xdr:row>
      <xdr:rowOff>57150</xdr:rowOff>
    </xdr:to>
    <xdr:sp macro="" textlink="">
      <xdr:nvSpPr>
        <xdr:cNvPr id="31" name="Line 63"/>
        <xdr:cNvSpPr>
          <a:spLocks noChangeShapeType="1"/>
        </xdr:cNvSpPr>
      </xdr:nvSpPr>
      <xdr:spPr bwMode="auto">
        <a:xfrm flipH="1" flipV="1">
          <a:off x="4476750" y="6134100"/>
          <a:ext cx="0" cy="76200"/>
        </a:xfrm>
        <a:prstGeom prst="line">
          <a:avLst/>
        </a:prstGeom>
        <a:noFill/>
        <a:ln w="1587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</xdr:col>
      <xdr:colOff>409575</xdr:colOff>
      <xdr:row>37</xdr:row>
      <xdr:rowOff>152400</xdr:rowOff>
    </xdr:from>
    <xdr:to>
      <xdr:col>7</xdr:col>
      <xdr:colOff>409575</xdr:colOff>
      <xdr:row>38</xdr:row>
      <xdr:rowOff>66675</xdr:rowOff>
    </xdr:to>
    <xdr:sp macro="" textlink="">
      <xdr:nvSpPr>
        <xdr:cNvPr id="32" name="Line 64"/>
        <xdr:cNvSpPr>
          <a:spLocks noChangeShapeType="1"/>
        </xdr:cNvSpPr>
      </xdr:nvSpPr>
      <xdr:spPr bwMode="auto">
        <a:xfrm flipV="1">
          <a:off x="4676775" y="6143625"/>
          <a:ext cx="0" cy="76200"/>
        </a:xfrm>
        <a:prstGeom prst="line">
          <a:avLst/>
        </a:prstGeom>
        <a:noFill/>
        <a:ln w="19050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</xdr:col>
      <xdr:colOff>266700</xdr:colOff>
      <xdr:row>37</xdr:row>
      <xdr:rowOff>9525</xdr:rowOff>
    </xdr:from>
    <xdr:to>
      <xdr:col>7</xdr:col>
      <xdr:colOff>361950</xdr:colOff>
      <xdr:row>37</xdr:row>
      <xdr:rowOff>123825</xdr:rowOff>
    </xdr:to>
    <xdr:sp macro="" textlink="">
      <xdr:nvSpPr>
        <xdr:cNvPr id="33" name="Oval 65"/>
        <xdr:cNvSpPr>
          <a:spLocks noChangeArrowheads="1"/>
        </xdr:cNvSpPr>
      </xdr:nvSpPr>
      <xdr:spPr bwMode="auto">
        <a:xfrm>
          <a:off x="4533900" y="6000750"/>
          <a:ext cx="95250" cy="114300"/>
        </a:xfrm>
        <a:prstGeom prst="ellipse">
          <a:avLst/>
        </a:prstGeom>
        <a:solidFill>
          <a:srgbClr xmlns:mc="http://schemas.openxmlformats.org/markup-compatibility/2006" xmlns:a14="http://schemas.microsoft.com/office/drawing/2010/main" val="000000" mc:Ignorable="a14" a14:legacySpreadsheetColorIndex="8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</xdr:spPr>
    </xdr:sp>
    <xdr:clientData/>
  </xdr:twoCellAnchor>
  <xdr:twoCellAnchor>
    <xdr:from>
      <xdr:col>7</xdr:col>
      <xdr:colOff>390525</xdr:colOff>
      <xdr:row>37</xdr:row>
      <xdr:rowOff>19050</xdr:rowOff>
    </xdr:from>
    <xdr:to>
      <xdr:col>9</xdr:col>
      <xdr:colOff>590550</xdr:colOff>
      <xdr:row>37</xdr:row>
      <xdr:rowOff>142875</xdr:rowOff>
    </xdr:to>
    <xdr:sp macro="" textlink="">
      <xdr:nvSpPr>
        <xdr:cNvPr id="34" name="Freeform 66"/>
        <xdr:cNvSpPr>
          <a:spLocks/>
        </xdr:cNvSpPr>
      </xdr:nvSpPr>
      <xdr:spPr bwMode="auto">
        <a:xfrm>
          <a:off x="4657725" y="6010275"/>
          <a:ext cx="1419225" cy="123825"/>
        </a:xfrm>
        <a:custGeom>
          <a:avLst/>
          <a:gdLst>
            <a:gd name="T0" fmla="*/ 156 w 156"/>
            <a:gd name="T1" fmla="*/ 0 h 13"/>
            <a:gd name="T2" fmla="*/ 156 w 156"/>
            <a:gd name="T3" fmla="*/ 13 h 13"/>
            <a:gd name="T4" fmla="*/ 0 w 156"/>
            <a:gd name="T5" fmla="*/ 13 h 13"/>
          </a:gdLst>
          <a:ahLst/>
          <a:cxnLst>
            <a:cxn ang="0">
              <a:pos x="T0" y="T1"/>
            </a:cxn>
            <a:cxn ang="0">
              <a:pos x="T2" y="T3"/>
            </a:cxn>
            <a:cxn ang="0">
              <a:pos x="T4" y="T5"/>
            </a:cxn>
          </a:cxnLst>
          <a:rect l="0" t="0" r="r" b="b"/>
          <a:pathLst>
            <a:path w="156" h="13">
              <a:moveTo>
                <a:pt x="156" y="0"/>
              </a:moveTo>
              <a:lnTo>
                <a:pt x="156" y="13"/>
              </a:lnTo>
              <a:lnTo>
                <a:pt x="0" y="13"/>
              </a:lnTo>
            </a:path>
          </a:pathLst>
        </a:custGeom>
        <a:noFill/>
        <a:ln w="25400" cap="flat" cmpd="sng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</a:extLst>
      </xdr:spPr>
    </xdr:sp>
    <xdr:clientData/>
  </xdr:twoCellAnchor>
  <xdr:twoCellAnchor>
    <xdr:from>
      <xdr:col>5</xdr:col>
      <xdr:colOff>19050</xdr:colOff>
      <xdr:row>37</xdr:row>
      <xdr:rowOff>9525</xdr:rowOff>
    </xdr:from>
    <xdr:to>
      <xdr:col>7</xdr:col>
      <xdr:colOff>219075</xdr:colOff>
      <xdr:row>37</xdr:row>
      <xdr:rowOff>142875</xdr:rowOff>
    </xdr:to>
    <xdr:sp macro="" textlink="">
      <xdr:nvSpPr>
        <xdr:cNvPr id="35" name="Freeform 67"/>
        <xdr:cNvSpPr>
          <a:spLocks/>
        </xdr:cNvSpPr>
      </xdr:nvSpPr>
      <xdr:spPr bwMode="auto">
        <a:xfrm>
          <a:off x="3067050" y="6000750"/>
          <a:ext cx="1419225" cy="133350"/>
        </a:xfrm>
        <a:custGeom>
          <a:avLst/>
          <a:gdLst>
            <a:gd name="T0" fmla="*/ 0 w 149"/>
            <a:gd name="T1" fmla="*/ 0 h 14"/>
            <a:gd name="T2" fmla="*/ 0 w 149"/>
            <a:gd name="T3" fmla="*/ 14 h 14"/>
            <a:gd name="T4" fmla="*/ 149 w 149"/>
            <a:gd name="T5" fmla="*/ 14 h 14"/>
          </a:gdLst>
          <a:ahLst/>
          <a:cxnLst>
            <a:cxn ang="0">
              <a:pos x="T0" y="T1"/>
            </a:cxn>
            <a:cxn ang="0">
              <a:pos x="T2" y="T3"/>
            </a:cxn>
            <a:cxn ang="0">
              <a:pos x="T4" y="T5"/>
            </a:cxn>
          </a:cxnLst>
          <a:rect l="0" t="0" r="r" b="b"/>
          <a:pathLst>
            <a:path w="149" h="14">
              <a:moveTo>
                <a:pt x="0" y="0"/>
              </a:moveTo>
              <a:lnTo>
                <a:pt x="0" y="14"/>
              </a:lnTo>
              <a:lnTo>
                <a:pt x="149" y="14"/>
              </a:lnTo>
            </a:path>
          </a:pathLst>
        </a:custGeom>
        <a:noFill/>
        <a:ln w="25400" cap="flat" cmpd="sng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</a:extLst>
      </xdr:spPr>
    </xdr:sp>
    <xdr:clientData/>
  </xdr:twoCellAnchor>
  <xdr:twoCellAnchor>
    <xdr:from>
      <xdr:col>9</xdr:col>
      <xdr:colOff>409575</xdr:colOff>
      <xdr:row>37</xdr:row>
      <xdr:rowOff>76200</xdr:rowOff>
    </xdr:from>
    <xdr:to>
      <xdr:col>10</xdr:col>
      <xdr:colOff>438150</xdr:colOff>
      <xdr:row>37</xdr:row>
      <xdr:rowOff>104775</xdr:rowOff>
    </xdr:to>
    <xdr:sp macro="" textlink="">
      <xdr:nvSpPr>
        <xdr:cNvPr id="36" name="Line 68"/>
        <xdr:cNvSpPr>
          <a:spLocks noChangeShapeType="1"/>
        </xdr:cNvSpPr>
      </xdr:nvSpPr>
      <xdr:spPr bwMode="auto">
        <a:xfrm flipH="1" flipV="1">
          <a:off x="5895975" y="6067425"/>
          <a:ext cx="638175" cy="28575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</xdr:col>
      <xdr:colOff>161925</xdr:colOff>
      <xdr:row>37</xdr:row>
      <xdr:rowOff>142875</xdr:rowOff>
    </xdr:from>
    <xdr:to>
      <xdr:col>7</xdr:col>
      <xdr:colOff>457200</xdr:colOff>
      <xdr:row>38</xdr:row>
      <xdr:rowOff>38100</xdr:rowOff>
    </xdr:to>
    <xdr:sp macro="" textlink="">
      <xdr:nvSpPr>
        <xdr:cNvPr id="37" name="Rectangle 69"/>
        <xdr:cNvSpPr>
          <a:spLocks noChangeArrowheads="1"/>
        </xdr:cNvSpPr>
      </xdr:nvSpPr>
      <xdr:spPr bwMode="auto">
        <a:xfrm>
          <a:off x="4429125" y="6134100"/>
          <a:ext cx="295275" cy="5715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sp>
    <xdr:clientData/>
  </xdr:twoCellAnchor>
  <xdr:twoCellAnchor>
    <xdr:from>
      <xdr:col>7</xdr:col>
      <xdr:colOff>209550</xdr:colOff>
      <xdr:row>37</xdr:row>
      <xdr:rowOff>142875</xdr:rowOff>
    </xdr:from>
    <xdr:to>
      <xdr:col>7</xdr:col>
      <xdr:colOff>209550</xdr:colOff>
      <xdr:row>38</xdr:row>
      <xdr:rowOff>57150</xdr:rowOff>
    </xdr:to>
    <xdr:sp macro="" textlink="">
      <xdr:nvSpPr>
        <xdr:cNvPr id="38" name="Line 70"/>
        <xdr:cNvSpPr>
          <a:spLocks noChangeShapeType="1"/>
        </xdr:cNvSpPr>
      </xdr:nvSpPr>
      <xdr:spPr bwMode="auto">
        <a:xfrm flipH="1" flipV="1">
          <a:off x="4476750" y="6134100"/>
          <a:ext cx="0" cy="76200"/>
        </a:xfrm>
        <a:prstGeom prst="line">
          <a:avLst/>
        </a:prstGeom>
        <a:noFill/>
        <a:ln w="1587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</xdr:col>
      <xdr:colOff>409575</xdr:colOff>
      <xdr:row>37</xdr:row>
      <xdr:rowOff>152400</xdr:rowOff>
    </xdr:from>
    <xdr:to>
      <xdr:col>7</xdr:col>
      <xdr:colOff>409575</xdr:colOff>
      <xdr:row>38</xdr:row>
      <xdr:rowOff>66675</xdr:rowOff>
    </xdr:to>
    <xdr:sp macro="" textlink="">
      <xdr:nvSpPr>
        <xdr:cNvPr id="39" name="Line 71"/>
        <xdr:cNvSpPr>
          <a:spLocks noChangeShapeType="1"/>
        </xdr:cNvSpPr>
      </xdr:nvSpPr>
      <xdr:spPr bwMode="auto">
        <a:xfrm flipV="1">
          <a:off x="4676775" y="6143625"/>
          <a:ext cx="0" cy="76200"/>
        </a:xfrm>
        <a:prstGeom prst="line">
          <a:avLst/>
        </a:prstGeom>
        <a:noFill/>
        <a:ln w="19050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13</xdr:col>
      <xdr:colOff>0</xdr:colOff>
      <xdr:row>25</xdr:row>
      <xdr:rowOff>9525</xdr:rowOff>
    </xdr:from>
    <xdr:to>
      <xdr:col>13</xdr:col>
      <xdr:colOff>0</xdr:colOff>
      <xdr:row>39</xdr:row>
      <xdr:rowOff>161925</xdr:rowOff>
    </xdr:to>
    <xdr:sp macro="" textlink="">
      <xdr:nvSpPr>
        <xdr:cNvPr id="40" name="Line 72"/>
        <xdr:cNvSpPr>
          <a:spLocks noChangeShapeType="1"/>
        </xdr:cNvSpPr>
      </xdr:nvSpPr>
      <xdr:spPr bwMode="auto">
        <a:xfrm flipV="1">
          <a:off x="7924800" y="4057650"/>
          <a:ext cx="0" cy="241935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</xdr:col>
      <xdr:colOff>257175</xdr:colOff>
      <xdr:row>29</xdr:row>
      <xdr:rowOff>0</xdr:rowOff>
    </xdr:from>
    <xdr:to>
      <xdr:col>11</xdr:col>
      <xdr:colOff>285750</xdr:colOff>
      <xdr:row>30</xdr:row>
      <xdr:rowOff>171450</xdr:rowOff>
    </xdr:to>
    <xdr:sp macro="" textlink="">
      <xdr:nvSpPr>
        <xdr:cNvPr id="41" name="Line 74"/>
        <xdr:cNvSpPr>
          <a:spLocks noChangeShapeType="1"/>
        </xdr:cNvSpPr>
      </xdr:nvSpPr>
      <xdr:spPr bwMode="auto">
        <a:xfrm flipH="1">
          <a:off x="6353175" y="4695825"/>
          <a:ext cx="638175" cy="32385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11</xdr:col>
      <xdr:colOff>257175</xdr:colOff>
      <xdr:row>28</xdr:row>
      <xdr:rowOff>152400</xdr:rowOff>
    </xdr:from>
    <xdr:to>
      <xdr:col>12</xdr:col>
      <xdr:colOff>285750</xdr:colOff>
      <xdr:row>30</xdr:row>
      <xdr:rowOff>161925</xdr:rowOff>
    </xdr:to>
    <xdr:sp macro="" textlink="">
      <xdr:nvSpPr>
        <xdr:cNvPr id="42" name="Line 75"/>
        <xdr:cNvSpPr>
          <a:spLocks noChangeShapeType="1"/>
        </xdr:cNvSpPr>
      </xdr:nvSpPr>
      <xdr:spPr bwMode="auto">
        <a:xfrm flipH="1">
          <a:off x="6962775" y="4686300"/>
          <a:ext cx="638175" cy="333375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16</xdr:col>
      <xdr:colOff>257175</xdr:colOff>
      <xdr:row>25</xdr:row>
      <xdr:rowOff>152400</xdr:rowOff>
    </xdr:from>
    <xdr:to>
      <xdr:col>16</xdr:col>
      <xdr:colOff>257175</xdr:colOff>
      <xdr:row>37</xdr:row>
      <xdr:rowOff>171450</xdr:rowOff>
    </xdr:to>
    <xdr:sp macro="" textlink="">
      <xdr:nvSpPr>
        <xdr:cNvPr id="43" name="Line 76"/>
        <xdr:cNvSpPr>
          <a:spLocks noChangeShapeType="1"/>
        </xdr:cNvSpPr>
      </xdr:nvSpPr>
      <xdr:spPr bwMode="auto">
        <a:xfrm flipV="1">
          <a:off x="10010775" y="4200525"/>
          <a:ext cx="0" cy="1952625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285750</xdr:colOff>
      <xdr:row>28</xdr:row>
      <xdr:rowOff>9525</xdr:rowOff>
    </xdr:from>
    <xdr:to>
      <xdr:col>5</xdr:col>
      <xdr:colOff>314325</xdr:colOff>
      <xdr:row>30</xdr:row>
      <xdr:rowOff>0</xdr:rowOff>
    </xdr:to>
    <xdr:sp macro="" textlink="">
      <xdr:nvSpPr>
        <xdr:cNvPr id="2" name="Line 1"/>
        <xdr:cNvSpPr>
          <a:spLocks noChangeShapeType="1"/>
        </xdr:cNvSpPr>
      </xdr:nvSpPr>
      <xdr:spPr bwMode="auto">
        <a:xfrm flipH="1">
          <a:off x="2724150" y="4543425"/>
          <a:ext cx="638175" cy="314325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</xdr:col>
      <xdr:colOff>285750</xdr:colOff>
      <xdr:row>39</xdr:row>
      <xdr:rowOff>95250</xdr:rowOff>
    </xdr:from>
    <xdr:to>
      <xdr:col>6</xdr:col>
      <xdr:colOff>171450</xdr:colOff>
      <xdr:row>39</xdr:row>
      <xdr:rowOff>95250</xdr:rowOff>
    </xdr:to>
    <xdr:sp macro="" textlink="">
      <xdr:nvSpPr>
        <xdr:cNvPr id="3" name="Line 6"/>
        <xdr:cNvSpPr>
          <a:spLocks noChangeShapeType="1"/>
        </xdr:cNvSpPr>
      </xdr:nvSpPr>
      <xdr:spPr bwMode="auto">
        <a:xfrm flipH="1">
          <a:off x="3333750" y="6410325"/>
          <a:ext cx="495300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</xdr:col>
      <xdr:colOff>485775</xdr:colOff>
      <xdr:row>39</xdr:row>
      <xdr:rowOff>9525</xdr:rowOff>
    </xdr:from>
    <xdr:to>
      <xdr:col>5</xdr:col>
      <xdr:colOff>485775</xdr:colOff>
      <xdr:row>39</xdr:row>
      <xdr:rowOff>95250</xdr:rowOff>
    </xdr:to>
    <xdr:sp macro="" textlink="">
      <xdr:nvSpPr>
        <xdr:cNvPr id="4" name="Line 7"/>
        <xdr:cNvSpPr>
          <a:spLocks noChangeShapeType="1"/>
        </xdr:cNvSpPr>
      </xdr:nvSpPr>
      <xdr:spPr bwMode="auto">
        <a:xfrm>
          <a:off x="3533775" y="6324600"/>
          <a:ext cx="0" cy="85725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</xdr:col>
      <xdr:colOff>161925</xdr:colOff>
      <xdr:row>39</xdr:row>
      <xdr:rowOff>38100</xdr:rowOff>
    </xdr:from>
    <xdr:to>
      <xdr:col>6</xdr:col>
      <xdr:colOff>161925</xdr:colOff>
      <xdr:row>39</xdr:row>
      <xdr:rowOff>161925</xdr:rowOff>
    </xdr:to>
    <xdr:sp macro="" textlink="">
      <xdr:nvSpPr>
        <xdr:cNvPr id="5" name="Line 8"/>
        <xdr:cNvSpPr>
          <a:spLocks noChangeShapeType="1"/>
        </xdr:cNvSpPr>
      </xdr:nvSpPr>
      <xdr:spPr bwMode="auto">
        <a:xfrm>
          <a:off x="3819525" y="6353175"/>
          <a:ext cx="0" cy="123825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</xdr:col>
      <xdr:colOff>200025</xdr:colOff>
      <xdr:row>39</xdr:row>
      <xdr:rowOff>38100</xdr:rowOff>
    </xdr:from>
    <xdr:to>
      <xdr:col>6</xdr:col>
      <xdr:colOff>200025</xdr:colOff>
      <xdr:row>39</xdr:row>
      <xdr:rowOff>161925</xdr:rowOff>
    </xdr:to>
    <xdr:sp macro="" textlink="">
      <xdr:nvSpPr>
        <xdr:cNvPr id="6" name="Line 9"/>
        <xdr:cNvSpPr>
          <a:spLocks noChangeShapeType="1"/>
        </xdr:cNvSpPr>
      </xdr:nvSpPr>
      <xdr:spPr bwMode="auto">
        <a:xfrm>
          <a:off x="3857625" y="6353175"/>
          <a:ext cx="0" cy="123825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</xdr:col>
      <xdr:colOff>95250</xdr:colOff>
      <xdr:row>39</xdr:row>
      <xdr:rowOff>47625</xdr:rowOff>
    </xdr:from>
    <xdr:to>
      <xdr:col>6</xdr:col>
      <xdr:colOff>266700</xdr:colOff>
      <xdr:row>39</xdr:row>
      <xdr:rowOff>152400</xdr:rowOff>
    </xdr:to>
    <xdr:sp macro="" textlink="">
      <xdr:nvSpPr>
        <xdr:cNvPr id="7" name="Line 10"/>
        <xdr:cNvSpPr>
          <a:spLocks noChangeShapeType="1"/>
        </xdr:cNvSpPr>
      </xdr:nvSpPr>
      <xdr:spPr bwMode="auto">
        <a:xfrm flipH="1">
          <a:off x="3752850" y="6362700"/>
          <a:ext cx="171450" cy="104775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</xdr:col>
      <xdr:colOff>209550</xdr:colOff>
      <xdr:row>39</xdr:row>
      <xdr:rowOff>95250</xdr:rowOff>
    </xdr:from>
    <xdr:to>
      <xdr:col>6</xdr:col>
      <xdr:colOff>304800</xdr:colOff>
      <xdr:row>40</xdr:row>
      <xdr:rowOff>38100</xdr:rowOff>
    </xdr:to>
    <xdr:sp macro="" textlink="">
      <xdr:nvSpPr>
        <xdr:cNvPr id="8" name="Line 11"/>
        <xdr:cNvSpPr>
          <a:spLocks noChangeShapeType="1"/>
        </xdr:cNvSpPr>
      </xdr:nvSpPr>
      <xdr:spPr bwMode="auto">
        <a:xfrm>
          <a:off x="3867150" y="6410325"/>
          <a:ext cx="95250" cy="104775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</xdr:col>
      <xdr:colOff>285750</xdr:colOff>
      <xdr:row>39</xdr:row>
      <xdr:rowOff>142875</xdr:rowOff>
    </xdr:from>
    <xdr:to>
      <xdr:col>6</xdr:col>
      <xdr:colOff>295275</xdr:colOff>
      <xdr:row>40</xdr:row>
      <xdr:rowOff>19050</xdr:rowOff>
    </xdr:to>
    <xdr:sp macro="" textlink="">
      <xdr:nvSpPr>
        <xdr:cNvPr id="9" name="Oval 12"/>
        <xdr:cNvSpPr>
          <a:spLocks noChangeArrowheads="1"/>
        </xdr:cNvSpPr>
      </xdr:nvSpPr>
      <xdr:spPr bwMode="auto">
        <a:xfrm>
          <a:off x="3943350" y="6457950"/>
          <a:ext cx="9525" cy="38100"/>
        </a:xfrm>
        <a:prstGeom prst="ellipse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</xdr:spPr>
    </xdr:sp>
    <xdr:clientData/>
  </xdr:twoCellAnchor>
  <xdr:twoCellAnchor>
    <xdr:from>
      <xdr:col>6</xdr:col>
      <xdr:colOff>257175</xdr:colOff>
      <xdr:row>39</xdr:row>
      <xdr:rowOff>123825</xdr:rowOff>
    </xdr:from>
    <xdr:to>
      <xdr:col>6</xdr:col>
      <xdr:colOff>342900</xdr:colOff>
      <xdr:row>40</xdr:row>
      <xdr:rowOff>47625</xdr:rowOff>
    </xdr:to>
    <xdr:sp macro="" textlink="">
      <xdr:nvSpPr>
        <xdr:cNvPr id="10" name="Oval 13"/>
        <xdr:cNvSpPr>
          <a:spLocks noChangeArrowheads="1"/>
        </xdr:cNvSpPr>
      </xdr:nvSpPr>
      <xdr:spPr bwMode="auto">
        <a:xfrm>
          <a:off x="3914775" y="6438900"/>
          <a:ext cx="85725" cy="85725"/>
        </a:xfrm>
        <a:prstGeom prst="ellipse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</xdr:spPr>
    </xdr:sp>
    <xdr:clientData/>
  </xdr:twoCellAnchor>
  <xdr:twoCellAnchor>
    <xdr:from>
      <xdr:col>6</xdr:col>
      <xdr:colOff>209550</xdr:colOff>
      <xdr:row>39</xdr:row>
      <xdr:rowOff>104775</xdr:rowOff>
    </xdr:from>
    <xdr:to>
      <xdr:col>6</xdr:col>
      <xdr:colOff>304800</xdr:colOff>
      <xdr:row>40</xdr:row>
      <xdr:rowOff>0</xdr:rowOff>
    </xdr:to>
    <xdr:sp macro="" textlink="">
      <xdr:nvSpPr>
        <xdr:cNvPr id="11" name="Line 14"/>
        <xdr:cNvSpPr>
          <a:spLocks noChangeShapeType="1"/>
        </xdr:cNvSpPr>
      </xdr:nvSpPr>
      <xdr:spPr bwMode="auto">
        <a:xfrm>
          <a:off x="3867150" y="6419850"/>
          <a:ext cx="95250" cy="5715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</xdr:col>
      <xdr:colOff>219075</xdr:colOff>
      <xdr:row>39</xdr:row>
      <xdr:rowOff>114300</xdr:rowOff>
    </xdr:from>
    <xdr:to>
      <xdr:col>6</xdr:col>
      <xdr:colOff>295275</xdr:colOff>
      <xdr:row>40</xdr:row>
      <xdr:rowOff>9525</xdr:rowOff>
    </xdr:to>
    <xdr:sp macro="" textlink="">
      <xdr:nvSpPr>
        <xdr:cNvPr id="12" name="Line 15"/>
        <xdr:cNvSpPr>
          <a:spLocks noChangeShapeType="1"/>
        </xdr:cNvSpPr>
      </xdr:nvSpPr>
      <xdr:spPr bwMode="auto">
        <a:xfrm flipH="1" flipV="1">
          <a:off x="3876675" y="6429375"/>
          <a:ext cx="76200" cy="5715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</xdr:col>
      <xdr:colOff>295275</xdr:colOff>
      <xdr:row>39</xdr:row>
      <xdr:rowOff>0</xdr:rowOff>
    </xdr:from>
    <xdr:to>
      <xdr:col>6</xdr:col>
      <xdr:colOff>304800</xdr:colOff>
      <xdr:row>39</xdr:row>
      <xdr:rowOff>123825</xdr:rowOff>
    </xdr:to>
    <xdr:sp macro="" textlink="">
      <xdr:nvSpPr>
        <xdr:cNvPr id="13" name="Line 16"/>
        <xdr:cNvSpPr>
          <a:spLocks noChangeShapeType="1"/>
        </xdr:cNvSpPr>
      </xdr:nvSpPr>
      <xdr:spPr bwMode="auto">
        <a:xfrm flipH="1">
          <a:off x="3952875" y="6315075"/>
          <a:ext cx="9525" cy="123825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</xdr:col>
      <xdr:colOff>295275</xdr:colOff>
      <xdr:row>40</xdr:row>
      <xdr:rowOff>57150</xdr:rowOff>
    </xdr:from>
    <xdr:to>
      <xdr:col>7</xdr:col>
      <xdr:colOff>152400</xdr:colOff>
      <xdr:row>41</xdr:row>
      <xdr:rowOff>28575</xdr:rowOff>
    </xdr:to>
    <xdr:sp macro="" textlink="">
      <xdr:nvSpPr>
        <xdr:cNvPr id="14" name="Line 17"/>
        <xdr:cNvSpPr>
          <a:spLocks noChangeShapeType="1"/>
        </xdr:cNvSpPr>
      </xdr:nvSpPr>
      <xdr:spPr bwMode="auto">
        <a:xfrm>
          <a:off x="3952875" y="6534150"/>
          <a:ext cx="466725" cy="13335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</xdr:col>
      <xdr:colOff>342900</xdr:colOff>
      <xdr:row>39</xdr:row>
      <xdr:rowOff>152400</xdr:rowOff>
    </xdr:from>
    <xdr:to>
      <xdr:col>7</xdr:col>
      <xdr:colOff>228600</xdr:colOff>
      <xdr:row>41</xdr:row>
      <xdr:rowOff>0</xdr:rowOff>
    </xdr:to>
    <xdr:sp macro="" textlink="">
      <xdr:nvSpPr>
        <xdr:cNvPr id="15" name="Line 18"/>
        <xdr:cNvSpPr>
          <a:spLocks noChangeShapeType="1"/>
        </xdr:cNvSpPr>
      </xdr:nvSpPr>
      <xdr:spPr bwMode="auto">
        <a:xfrm>
          <a:off x="4000500" y="6467475"/>
          <a:ext cx="495300" cy="17145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</xdr:col>
      <xdr:colOff>304800</xdr:colOff>
      <xdr:row>39</xdr:row>
      <xdr:rowOff>114300</xdr:rowOff>
    </xdr:from>
    <xdr:to>
      <xdr:col>6</xdr:col>
      <xdr:colOff>161925</xdr:colOff>
      <xdr:row>39</xdr:row>
      <xdr:rowOff>114300</xdr:rowOff>
    </xdr:to>
    <xdr:sp macro="" textlink="">
      <xdr:nvSpPr>
        <xdr:cNvPr id="16" name="Line 19"/>
        <xdr:cNvSpPr>
          <a:spLocks noChangeShapeType="1"/>
        </xdr:cNvSpPr>
      </xdr:nvSpPr>
      <xdr:spPr bwMode="auto">
        <a:xfrm>
          <a:off x="3352800" y="6429375"/>
          <a:ext cx="466725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</xdr:col>
      <xdr:colOff>295275</xdr:colOff>
      <xdr:row>39</xdr:row>
      <xdr:rowOff>19050</xdr:rowOff>
    </xdr:from>
    <xdr:to>
      <xdr:col>6</xdr:col>
      <xdr:colOff>295275</xdr:colOff>
      <xdr:row>39</xdr:row>
      <xdr:rowOff>114300</xdr:rowOff>
    </xdr:to>
    <xdr:sp macro="" textlink="">
      <xdr:nvSpPr>
        <xdr:cNvPr id="17" name="Line 20"/>
        <xdr:cNvSpPr>
          <a:spLocks noChangeShapeType="1"/>
        </xdr:cNvSpPr>
      </xdr:nvSpPr>
      <xdr:spPr bwMode="auto">
        <a:xfrm>
          <a:off x="3952875" y="6334125"/>
          <a:ext cx="0" cy="9525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</xdr:col>
      <xdr:colOff>266700</xdr:colOff>
      <xdr:row>38</xdr:row>
      <xdr:rowOff>104775</xdr:rowOff>
    </xdr:from>
    <xdr:to>
      <xdr:col>6</xdr:col>
      <xdr:colOff>361950</xdr:colOff>
      <xdr:row>39</xdr:row>
      <xdr:rowOff>47625</xdr:rowOff>
    </xdr:to>
    <xdr:sp macro="" textlink="">
      <xdr:nvSpPr>
        <xdr:cNvPr id="18" name="Oval 21"/>
        <xdr:cNvSpPr>
          <a:spLocks noChangeArrowheads="1"/>
        </xdr:cNvSpPr>
      </xdr:nvSpPr>
      <xdr:spPr bwMode="auto">
        <a:xfrm>
          <a:off x="3924300" y="6257925"/>
          <a:ext cx="95250" cy="104775"/>
        </a:xfrm>
        <a:prstGeom prst="ellipse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</xdr:spPr>
    </xdr:sp>
    <xdr:clientData/>
  </xdr:twoCellAnchor>
  <xdr:twoCellAnchor>
    <xdr:from>
      <xdr:col>5</xdr:col>
      <xdr:colOff>504825</xdr:colOff>
      <xdr:row>39</xdr:row>
      <xdr:rowOff>0</xdr:rowOff>
    </xdr:from>
    <xdr:to>
      <xdr:col>5</xdr:col>
      <xdr:colOff>504825</xdr:colOff>
      <xdr:row>39</xdr:row>
      <xdr:rowOff>104775</xdr:rowOff>
    </xdr:to>
    <xdr:sp macro="" textlink="">
      <xdr:nvSpPr>
        <xdr:cNvPr id="19" name="Line 22"/>
        <xdr:cNvSpPr>
          <a:spLocks noChangeShapeType="1"/>
        </xdr:cNvSpPr>
      </xdr:nvSpPr>
      <xdr:spPr bwMode="auto">
        <a:xfrm>
          <a:off x="3552825" y="6315075"/>
          <a:ext cx="0" cy="104775"/>
        </a:xfrm>
        <a:prstGeom prst="line">
          <a:avLst/>
        </a:prstGeom>
        <a:noFill/>
        <a:ln w="2857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</xdr:col>
      <xdr:colOff>295275</xdr:colOff>
      <xdr:row>39</xdr:row>
      <xdr:rowOff>104775</xdr:rowOff>
    </xdr:from>
    <xdr:to>
      <xdr:col>6</xdr:col>
      <xdr:colOff>161925</xdr:colOff>
      <xdr:row>39</xdr:row>
      <xdr:rowOff>104775</xdr:rowOff>
    </xdr:to>
    <xdr:sp macro="" textlink="">
      <xdr:nvSpPr>
        <xdr:cNvPr id="20" name="Line 23"/>
        <xdr:cNvSpPr>
          <a:spLocks noChangeShapeType="1"/>
        </xdr:cNvSpPr>
      </xdr:nvSpPr>
      <xdr:spPr bwMode="auto">
        <a:xfrm>
          <a:off x="3343275" y="6419850"/>
          <a:ext cx="476250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</xdr:col>
      <xdr:colOff>276225</xdr:colOff>
      <xdr:row>39</xdr:row>
      <xdr:rowOff>57150</xdr:rowOff>
    </xdr:from>
    <xdr:to>
      <xdr:col>5</xdr:col>
      <xdr:colOff>371475</xdr:colOff>
      <xdr:row>40</xdr:row>
      <xdr:rowOff>85725</xdr:rowOff>
    </xdr:to>
    <xdr:sp macro="" textlink="">
      <xdr:nvSpPr>
        <xdr:cNvPr id="21" name="Line 24"/>
        <xdr:cNvSpPr>
          <a:spLocks noChangeShapeType="1"/>
        </xdr:cNvSpPr>
      </xdr:nvSpPr>
      <xdr:spPr bwMode="auto">
        <a:xfrm flipH="1">
          <a:off x="3324225" y="6372225"/>
          <a:ext cx="95250" cy="19050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</xdr:col>
      <xdr:colOff>371475</xdr:colOff>
      <xdr:row>39</xdr:row>
      <xdr:rowOff>161925</xdr:rowOff>
    </xdr:from>
    <xdr:to>
      <xdr:col>5</xdr:col>
      <xdr:colOff>504825</xdr:colOff>
      <xdr:row>41</xdr:row>
      <xdr:rowOff>104775</xdr:rowOff>
    </xdr:to>
    <xdr:sp macro="" textlink="">
      <xdr:nvSpPr>
        <xdr:cNvPr id="22" name="Line 25"/>
        <xdr:cNvSpPr>
          <a:spLocks noChangeShapeType="1"/>
        </xdr:cNvSpPr>
      </xdr:nvSpPr>
      <xdr:spPr bwMode="auto">
        <a:xfrm flipH="1">
          <a:off x="3419475" y="6477000"/>
          <a:ext cx="133350" cy="26670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</xdr:col>
      <xdr:colOff>552450</xdr:colOff>
      <xdr:row>40</xdr:row>
      <xdr:rowOff>28575</xdr:rowOff>
    </xdr:from>
    <xdr:to>
      <xdr:col>6</xdr:col>
      <xdr:colOff>161925</xdr:colOff>
      <xdr:row>42</xdr:row>
      <xdr:rowOff>9525</xdr:rowOff>
    </xdr:to>
    <xdr:sp macro="" textlink="">
      <xdr:nvSpPr>
        <xdr:cNvPr id="23" name="Line 26"/>
        <xdr:cNvSpPr>
          <a:spLocks noChangeShapeType="1"/>
        </xdr:cNvSpPr>
      </xdr:nvSpPr>
      <xdr:spPr bwMode="auto">
        <a:xfrm flipV="1">
          <a:off x="3600450" y="6505575"/>
          <a:ext cx="219075" cy="30480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</xdr:col>
      <xdr:colOff>266700</xdr:colOff>
      <xdr:row>39</xdr:row>
      <xdr:rowOff>76200</xdr:rowOff>
    </xdr:from>
    <xdr:to>
      <xdr:col>5</xdr:col>
      <xdr:colOff>190500</xdr:colOff>
      <xdr:row>39</xdr:row>
      <xdr:rowOff>85725</xdr:rowOff>
    </xdr:to>
    <xdr:sp macro="" textlink="">
      <xdr:nvSpPr>
        <xdr:cNvPr id="24" name="Line 27"/>
        <xdr:cNvSpPr>
          <a:spLocks noChangeShapeType="1"/>
        </xdr:cNvSpPr>
      </xdr:nvSpPr>
      <xdr:spPr bwMode="auto">
        <a:xfrm flipV="1">
          <a:off x="2705100" y="6391275"/>
          <a:ext cx="533400" cy="9525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</xdr:col>
      <xdr:colOff>457200</xdr:colOff>
      <xdr:row>26</xdr:row>
      <xdr:rowOff>95250</xdr:rowOff>
    </xdr:from>
    <xdr:to>
      <xdr:col>10</xdr:col>
      <xdr:colOff>19050</xdr:colOff>
      <xdr:row>26</xdr:row>
      <xdr:rowOff>95250</xdr:rowOff>
    </xdr:to>
    <xdr:sp macro="" textlink="">
      <xdr:nvSpPr>
        <xdr:cNvPr id="25" name="Line 28"/>
        <xdr:cNvSpPr>
          <a:spLocks noChangeShapeType="1"/>
        </xdr:cNvSpPr>
      </xdr:nvSpPr>
      <xdr:spPr bwMode="auto">
        <a:xfrm>
          <a:off x="5334000" y="4305300"/>
          <a:ext cx="781050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</xdr:col>
      <xdr:colOff>66675</xdr:colOff>
      <xdr:row>26</xdr:row>
      <xdr:rowOff>76200</xdr:rowOff>
    </xdr:from>
    <xdr:to>
      <xdr:col>5</xdr:col>
      <xdr:colOff>266700</xdr:colOff>
      <xdr:row>26</xdr:row>
      <xdr:rowOff>76200</xdr:rowOff>
    </xdr:to>
    <xdr:sp macro="" textlink="">
      <xdr:nvSpPr>
        <xdr:cNvPr id="26" name="Line 29"/>
        <xdr:cNvSpPr>
          <a:spLocks noChangeShapeType="1"/>
        </xdr:cNvSpPr>
      </xdr:nvSpPr>
      <xdr:spPr bwMode="auto">
        <a:xfrm flipH="1">
          <a:off x="3114675" y="4286250"/>
          <a:ext cx="200025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</xdr:col>
      <xdr:colOff>333375</xdr:colOff>
      <xdr:row>28</xdr:row>
      <xdr:rowOff>9525</xdr:rowOff>
    </xdr:from>
    <xdr:to>
      <xdr:col>6</xdr:col>
      <xdr:colOff>361950</xdr:colOff>
      <xdr:row>30</xdr:row>
      <xdr:rowOff>0</xdr:rowOff>
    </xdr:to>
    <xdr:sp macro="" textlink="">
      <xdr:nvSpPr>
        <xdr:cNvPr id="27" name="Line 30"/>
        <xdr:cNvSpPr>
          <a:spLocks noChangeShapeType="1"/>
        </xdr:cNvSpPr>
      </xdr:nvSpPr>
      <xdr:spPr bwMode="auto">
        <a:xfrm flipH="1">
          <a:off x="3381375" y="4543425"/>
          <a:ext cx="638175" cy="314325"/>
        </a:xfrm>
        <a:prstGeom prst="line">
          <a:avLst/>
        </a:prstGeom>
        <a:noFill/>
        <a:ln w="1587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</xdr:col>
      <xdr:colOff>276225</xdr:colOff>
      <xdr:row>28</xdr:row>
      <xdr:rowOff>19050</xdr:rowOff>
    </xdr:from>
    <xdr:to>
      <xdr:col>7</xdr:col>
      <xdr:colOff>304800</xdr:colOff>
      <xdr:row>30</xdr:row>
      <xdr:rowOff>9525</xdr:rowOff>
    </xdr:to>
    <xdr:sp macro="" textlink="">
      <xdr:nvSpPr>
        <xdr:cNvPr id="28" name="Line 31"/>
        <xdr:cNvSpPr>
          <a:spLocks noChangeShapeType="1"/>
        </xdr:cNvSpPr>
      </xdr:nvSpPr>
      <xdr:spPr bwMode="auto">
        <a:xfrm flipH="1">
          <a:off x="3933825" y="4552950"/>
          <a:ext cx="638175" cy="314325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</xdr:col>
      <xdr:colOff>371475</xdr:colOff>
      <xdr:row>28</xdr:row>
      <xdr:rowOff>9525</xdr:rowOff>
    </xdr:from>
    <xdr:to>
      <xdr:col>8</xdr:col>
      <xdr:colOff>400050</xdr:colOff>
      <xdr:row>30</xdr:row>
      <xdr:rowOff>0</xdr:rowOff>
    </xdr:to>
    <xdr:sp macro="" textlink="">
      <xdr:nvSpPr>
        <xdr:cNvPr id="29" name="Line 32"/>
        <xdr:cNvSpPr>
          <a:spLocks noChangeShapeType="1"/>
        </xdr:cNvSpPr>
      </xdr:nvSpPr>
      <xdr:spPr bwMode="auto">
        <a:xfrm flipH="1">
          <a:off x="4638675" y="4543425"/>
          <a:ext cx="638175" cy="314325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</xdr:col>
      <xdr:colOff>266700</xdr:colOff>
      <xdr:row>28</xdr:row>
      <xdr:rowOff>19050</xdr:rowOff>
    </xdr:from>
    <xdr:to>
      <xdr:col>10</xdr:col>
      <xdr:colOff>295275</xdr:colOff>
      <xdr:row>30</xdr:row>
      <xdr:rowOff>9525</xdr:rowOff>
    </xdr:to>
    <xdr:sp macro="" textlink="">
      <xdr:nvSpPr>
        <xdr:cNvPr id="30" name="Line 33"/>
        <xdr:cNvSpPr>
          <a:spLocks noChangeShapeType="1"/>
        </xdr:cNvSpPr>
      </xdr:nvSpPr>
      <xdr:spPr bwMode="auto">
        <a:xfrm flipH="1">
          <a:off x="5753100" y="4552950"/>
          <a:ext cx="638175" cy="314325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</xdr:col>
      <xdr:colOff>419100</xdr:colOff>
      <xdr:row>21</xdr:row>
      <xdr:rowOff>28575</xdr:rowOff>
    </xdr:from>
    <xdr:to>
      <xdr:col>6</xdr:col>
      <xdr:colOff>571500</xdr:colOff>
      <xdr:row>22</xdr:row>
      <xdr:rowOff>142875</xdr:rowOff>
    </xdr:to>
    <xdr:sp macro="" textlink="">
      <xdr:nvSpPr>
        <xdr:cNvPr id="31" name="Line 37"/>
        <xdr:cNvSpPr>
          <a:spLocks noChangeShapeType="1"/>
        </xdr:cNvSpPr>
      </xdr:nvSpPr>
      <xdr:spPr bwMode="auto">
        <a:xfrm flipV="1">
          <a:off x="3467100" y="3429000"/>
          <a:ext cx="762000" cy="276225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15</xdr:col>
      <xdr:colOff>95250</xdr:colOff>
      <xdr:row>37</xdr:row>
      <xdr:rowOff>161925</xdr:rowOff>
    </xdr:from>
    <xdr:to>
      <xdr:col>15</xdr:col>
      <xdr:colOff>419100</xdr:colOff>
      <xdr:row>37</xdr:row>
      <xdr:rowOff>161925</xdr:rowOff>
    </xdr:to>
    <xdr:sp macro="" textlink="">
      <xdr:nvSpPr>
        <xdr:cNvPr id="32" name="Line 39"/>
        <xdr:cNvSpPr>
          <a:spLocks noChangeShapeType="1"/>
        </xdr:cNvSpPr>
      </xdr:nvSpPr>
      <xdr:spPr bwMode="auto">
        <a:xfrm flipH="1">
          <a:off x="9239250" y="6153150"/>
          <a:ext cx="323850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15</xdr:col>
      <xdr:colOff>95250</xdr:colOff>
      <xdr:row>29</xdr:row>
      <xdr:rowOff>161925</xdr:rowOff>
    </xdr:from>
    <xdr:to>
      <xdr:col>15</xdr:col>
      <xdr:colOff>504825</xdr:colOff>
      <xdr:row>29</xdr:row>
      <xdr:rowOff>161925</xdr:rowOff>
    </xdr:to>
    <xdr:sp macro="" textlink="">
      <xdr:nvSpPr>
        <xdr:cNvPr id="33" name="Line 40"/>
        <xdr:cNvSpPr>
          <a:spLocks noChangeShapeType="1"/>
        </xdr:cNvSpPr>
      </xdr:nvSpPr>
      <xdr:spPr bwMode="auto">
        <a:xfrm flipH="1">
          <a:off x="9239250" y="4857750"/>
          <a:ext cx="409575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15</xdr:col>
      <xdr:colOff>466725</xdr:colOff>
      <xdr:row>31</xdr:row>
      <xdr:rowOff>9525</xdr:rowOff>
    </xdr:from>
    <xdr:to>
      <xdr:col>15</xdr:col>
      <xdr:colOff>466725</xdr:colOff>
      <xdr:row>38</xdr:row>
      <xdr:rowOff>0</xdr:rowOff>
    </xdr:to>
    <xdr:sp macro="" textlink="">
      <xdr:nvSpPr>
        <xdr:cNvPr id="34" name="Line 41"/>
        <xdr:cNvSpPr>
          <a:spLocks noChangeShapeType="1"/>
        </xdr:cNvSpPr>
      </xdr:nvSpPr>
      <xdr:spPr bwMode="auto">
        <a:xfrm flipV="1">
          <a:off x="9610725" y="5029200"/>
          <a:ext cx="0" cy="112395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15</xdr:col>
      <xdr:colOff>95250</xdr:colOff>
      <xdr:row>23</xdr:row>
      <xdr:rowOff>161925</xdr:rowOff>
    </xdr:from>
    <xdr:to>
      <xdr:col>15</xdr:col>
      <xdr:colOff>504825</xdr:colOff>
      <xdr:row>23</xdr:row>
      <xdr:rowOff>161925</xdr:rowOff>
    </xdr:to>
    <xdr:sp macro="" textlink="">
      <xdr:nvSpPr>
        <xdr:cNvPr id="35" name="Line 42"/>
        <xdr:cNvSpPr>
          <a:spLocks noChangeShapeType="1"/>
        </xdr:cNvSpPr>
      </xdr:nvSpPr>
      <xdr:spPr bwMode="auto">
        <a:xfrm flipH="1">
          <a:off x="9239250" y="3886200"/>
          <a:ext cx="409575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15</xdr:col>
      <xdr:colOff>95250</xdr:colOff>
      <xdr:row>17</xdr:row>
      <xdr:rowOff>161925</xdr:rowOff>
    </xdr:from>
    <xdr:to>
      <xdr:col>15</xdr:col>
      <xdr:colOff>504825</xdr:colOff>
      <xdr:row>17</xdr:row>
      <xdr:rowOff>161925</xdr:rowOff>
    </xdr:to>
    <xdr:sp macro="" textlink="">
      <xdr:nvSpPr>
        <xdr:cNvPr id="36" name="Line 43"/>
        <xdr:cNvSpPr>
          <a:spLocks noChangeShapeType="1"/>
        </xdr:cNvSpPr>
      </xdr:nvSpPr>
      <xdr:spPr bwMode="auto">
        <a:xfrm flipH="1">
          <a:off x="9239250" y="2914650"/>
          <a:ext cx="409575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15</xdr:col>
      <xdr:colOff>95250</xdr:colOff>
      <xdr:row>11</xdr:row>
      <xdr:rowOff>161925</xdr:rowOff>
    </xdr:from>
    <xdr:to>
      <xdr:col>15</xdr:col>
      <xdr:colOff>504825</xdr:colOff>
      <xdr:row>11</xdr:row>
      <xdr:rowOff>161925</xdr:rowOff>
    </xdr:to>
    <xdr:sp macro="" textlink="">
      <xdr:nvSpPr>
        <xdr:cNvPr id="37" name="Line 44"/>
        <xdr:cNvSpPr>
          <a:spLocks noChangeShapeType="1"/>
        </xdr:cNvSpPr>
      </xdr:nvSpPr>
      <xdr:spPr bwMode="auto">
        <a:xfrm flipH="1">
          <a:off x="9239250" y="1943100"/>
          <a:ext cx="409575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15</xdr:col>
      <xdr:colOff>447675</xdr:colOff>
      <xdr:row>25</xdr:row>
      <xdr:rowOff>0</xdr:rowOff>
    </xdr:from>
    <xdr:to>
      <xdr:col>15</xdr:col>
      <xdr:colOff>447675</xdr:colOff>
      <xdr:row>29</xdr:row>
      <xdr:rowOff>133350</xdr:rowOff>
    </xdr:to>
    <xdr:sp macro="" textlink="">
      <xdr:nvSpPr>
        <xdr:cNvPr id="38" name="Line 45"/>
        <xdr:cNvSpPr>
          <a:spLocks noChangeShapeType="1"/>
        </xdr:cNvSpPr>
      </xdr:nvSpPr>
      <xdr:spPr bwMode="auto">
        <a:xfrm flipV="1">
          <a:off x="9591675" y="4048125"/>
          <a:ext cx="0" cy="78105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</xdr:col>
      <xdr:colOff>9525</xdr:colOff>
      <xdr:row>38</xdr:row>
      <xdr:rowOff>76200</xdr:rowOff>
    </xdr:from>
    <xdr:to>
      <xdr:col>7</xdr:col>
      <xdr:colOff>161925</xdr:colOff>
      <xdr:row>38</xdr:row>
      <xdr:rowOff>76200</xdr:rowOff>
    </xdr:to>
    <xdr:sp macro="" textlink="">
      <xdr:nvSpPr>
        <xdr:cNvPr id="39" name="Line 47"/>
        <xdr:cNvSpPr>
          <a:spLocks noChangeShapeType="1"/>
        </xdr:cNvSpPr>
      </xdr:nvSpPr>
      <xdr:spPr bwMode="auto">
        <a:xfrm flipH="1">
          <a:off x="2447925" y="6229350"/>
          <a:ext cx="1981200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</xdr:col>
      <xdr:colOff>428625</xdr:colOff>
      <xdr:row>38</xdr:row>
      <xdr:rowOff>104775</xdr:rowOff>
    </xdr:from>
    <xdr:to>
      <xdr:col>9</xdr:col>
      <xdr:colOff>0</xdr:colOff>
      <xdr:row>38</xdr:row>
      <xdr:rowOff>104775</xdr:rowOff>
    </xdr:to>
    <xdr:sp macro="" textlink="">
      <xdr:nvSpPr>
        <xdr:cNvPr id="40" name="Line 48"/>
        <xdr:cNvSpPr>
          <a:spLocks noChangeShapeType="1"/>
        </xdr:cNvSpPr>
      </xdr:nvSpPr>
      <xdr:spPr bwMode="auto">
        <a:xfrm>
          <a:off x="5305425" y="6257925"/>
          <a:ext cx="180975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</xdr:col>
      <xdr:colOff>142875</xdr:colOff>
      <xdr:row>41</xdr:row>
      <xdr:rowOff>38100</xdr:rowOff>
    </xdr:from>
    <xdr:to>
      <xdr:col>6</xdr:col>
      <xdr:colOff>657225</xdr:colOff>
      <xdr:row>41</xdr:row>
      <xdr:rowOff>104775</xdr:rowOff>
    </xdr:to>
    <xdr:sp macro="" textlink="">
      <xdr:nvSpPr>
        <xdr:cNvPr id="41" name="Line 49"/>
        <xdr:cNvSpPr>
          <a:spLocks noChangeShapeType="1"/>
        </xdr:cNvSpPr>
      </xdr:nvSpPr>
      <xdr:spPr bwMode="auto">
        <a:xfrm flipH="1" flipV="1">
          <a:off x="3800475" y="6677025"/>
          <a:ext cx="466725" cy="66675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285750</xdr:colOff>
      <xdr:row>33</xdr:row>
      <xdr:rowOff>9525</xdr:rowOff>
    </xdr:from>
    <xdr:to>
      <xdr:col>6</xdr:col>
      <xdr:colOff>314325</xdr:colOff>
      <xdr:row>35</xdr:row>
      <xdr:rowOff>0</xdr:rowOff>
    </xdr:to>
    <xdr:sp macro="" textlink="">
      <xdr:nvSpPr>
        <xdr:cNvPr id="2" name="Line 1"/>
        <xdr:cNvSpPr>
          <a:spLocks noChangeShapeType="1"/>
        </xdr:cNvSpPr>
      </xdr:nvSpPr>
      <xdr:spPr bwMode="auto">
        <a:xfrm flipH="1">
          <a:off x="3333750" y="5353050"/>
          <a:ext cx="638175" cy="314325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</xdr:col>
      <xdr:colOff>285750</xdr:colOff>
      <xdr:row>42</xdr:row>
      <xdr:rowOff>95250</xdr:rowOff>
    </xdr:from>
    <xdr:to>
      <xdr:col>7</xdr:col>
      <xdr:colOff>171450</xdr:colOff>
      <xdr:row>42</xdr:row>
      <xdr:rowOff>95250</xdr:rowOff>
    </xdr:to>
    <xdr:sp macro="" textlink="">
      <xdr:nvSpPr>
        <xdr:cNvPr id="3" name="Line 6"/>
        <xdr:cNvSpPr>
          <a:spLocks noChangeShapeType="1"/>
        </xdr:cNvSpPr>
      </xdr:nvSpPr>
      <xdr:spPr bwMode="auto">
        <a:xfrm flipH="1">
          <a:off x="3943350" y="6896100"/>
          <a:ext cx="495300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</xdr:col>
      <xdr:colOff>304800</xdr:colOff>
      <xdr:row>42</xdr:row>
      <xdr:rowOff>9525</xdr:rowOff>
    </xdr:from>
    <xdr:to>
      <xdr:col>6</xdr:col>
      <xdr:colOff>304800</xdr:colOff>
      <xdr:row>42</xdr:row>
      <xdr:rowOff>95250</xdr:rowOff>
    </xdr:to>
    <xdr:sp macro="" textlink="">
      <xdr:nvSpPr>
        <xdr:cNvPr id="4" name="Line 7"/>
        <xdr:cNvSpPr>
          <a:spLocks noChangeShapeType="1"/>
        </xdr:cNvSpPr>
      </xdr:nvSpPr>
      <xdr:spPr bwMode="auto">
        <a:xfrm>
          <a:off x="3962400" y="6810375"/>
          <a:ext cx="0" cy="85725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</xdr:col>
      <xdr:colOff>161925</xdr:colOff>
      <xdr:row>42</xdr:row>
      <xdr:rowOff>38100</xdr:rowOff>
    </xdr:from>
    <xdr:to>
      <xdr:col>7</xdr:col>
      <xdr:colOff>161925</xdr:colOff>
      <xdr:row>42</xdr:row>
      <xdr:rowOff>161925</xdr:rowOff>
    </xdr:to>
    <xdr:sp macro="" textlink="">
      <xdr:nvSpPr>
        <xdr:cNvPr id="5" name="Line 8"/>
        <xdr:cNvSpPr>
          <a:spLocks noChangeShapeType="1"/>
        </xdr:cNvSpPr>
      </xdr:nvSpPr>
      <xdr:spPr bwMode="auto">
        <a:xfrm>
          <a:off x="4429125" y="6838950"/>
          <a:ext cx="0" cy="123825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</xdr:col>
      <xdr:colOff>200025</xdr:colOff>
      <xdr:row>42</xdr:row>
      <xdr:rowOff>38100</xdr:rowOff>
    </xdr:from>
    <xdr:to>
      <xdr:col>7</xdr:col>
      <xdr:colOff>200025</xdr:colOff>
      <xdr:row>42</xdr:row>
      <xdr:rowOff>161925</xdr:rowOff>
    </xdr:to>
    <xdr:sp macro="" textlink="">
      <xdr:nvSpPr>
        <xdr:cNvPr id="6" name="Line 9"/>
        <xdr:cNvSpPr>
          <a:spLocks noChangeShapeType="1"/>
        </xdr:cNvSpPr>
      </xdr:nvSpPr>
      <xdr:spPr bwMode="auto">
        <a:xfrm>
          <a:off x="4467225" y="6838950"/>
          <a:ext cx="0" cy="123825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</xdr:col>
      <xdr:colOff>95250</xdr:colOff>
      <xdr:row>42</xdr:row>
      <xdr:rowOff>47625</xdr:rowOff>
    </xdr:from>
    <xdr:to>
      <xdr:col>7</xdr:col>
      <xdr:colOff>266700</xdr:colOff>
      <xdr:row>42</xdr:row>
      <xdr:rowOff>152400</xdr:rowOff>
    </xdr:to>
    <xdr:sp macro="" textlink="">
      <xdr:nvSpPr>
        <xdr:cNvPr id="7" name="Line 10"/>
        <xdr:cNvSpPr>
          <a:spLocks noChangeShapeType="1"/>
        </xdr:cNvSpPr>
      </xdr:nvSpPr>
      <xdr:spPr bwMode="auto">
        <a:xfrm flipH="1">
          <a:off x="4362450" y="6848475"/>
          <a:ext cx="171450" cy="104775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</xdr:col>
      <xdr:colOff>209550</xdr:colOff>
      <xdr:row>42</xdr:row>
      <xdr:rowOff>95250</xdr:rowOff>
    </xdr:from>
    <xdr:to>
      <xdr:col>7</xdr:col>
      <xdr:colOff>304800</xdr:colOff>
      <xdr:row>43</xdr:row>
      <xdr:rowOff>38100</xdr:rowOff>
    </xdr:to>
    <xdr:sp macro="" textlink="">
      <xdr:nvSpPr>
        <xdr:cNvPr id="8" name="Line 11"/>
        <xdr:cNvSpPr>
          <a:spLocks noChangeShapeType="1"/>
        </xdr:cNvSpPr>
      </xdr:nvSpPr>
      <xdr:spPr bwMode="auto">
        <a:xfrm>
          <a:off x="4476750" y="6896100"/>
          <a:ext cx="95250" cy="104775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</xdr:col>
      <xdr:colOff>285750</xdr:colOff>
      <xdr:row>42</xdr:row>
      <xdr:rowOff>142875</xdr:rowOff>
    </xdr:from>
    <xdr:to>
      <xdr:col>7</xdr:col>
      <xdr:colOff>295275</xdr:colOff>
      <xdr:row>43</xdr:row>
      <xdr:rowOff>19050</xdr:rowOff>
    </xdr:to>
    <xdr:sp macro="" textlink="">
      <xdr:nvSpPr>
        <xdr:cNvPr id="9" name="Oval 12"/>
        <xdr:cNvSpPr>
          <a:spLocks noChangeArrowheads="1"/>
        </xdr:cNvSpPr>
      </xdr:nvSpPr>
      <xdr:spPr bwMode="auto">
        <a:xfrm>
          <a:off x="4552950" y="6943725"/>
          <a:ext cx="9525" cy="38100"/>
        </a:xfrm>
        <a:prstGeom prst="ellipse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</xdr:spPr>
    </xdr:sp>
    <xdr:clientData/>
  </xdr:twoCellAnchor>
  <xdr:twoCellAnchor>
    <xdr:from>
      <xdr:col>7</xdr:col>
      <xdr:colOff>257175</xdr:colOff>
      <xdr:row>42</xdr:row>
      <xdr:rowOff>123825</xdr:rowOff>
    </xdr:from>
    <xdr:to>
      <xdr:col>7</xdr:col>
      <xdr:colOff>342900</xdr:colOff>
      <xdr:row>43</xdr:row>
      <xdr:rowOff>47625</xdr:rowOff>
    </xdr:to>
    <xdr:sp macro="" textlink="">
      <xdr:nvSpPr>
        <xdr:cNvPr id="10" name="Oval 13"/>
        <xdr:cNvSpPr>
          <a:spLocks noChangeArrowheads="1"/>
        </xdr:cNvSpPr>
      </xdr:nvSpPr>
      <xdr:spPr bwMode="auto">
        <a:xfrm>
          <a:off x="4524375" y="6924675"/>
          <a:ext cx="85725" cy="85725"/>
        </a:xfrm>
        <a:prstGeom prst="ellipse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</xdr:spPr>
    </xdr:sp>
    <xdr:clientData/>
  </xdr:twoCellAnchor>
  <xdr:twoCellAnchor>
    <xdr:from>
      <xdr:col>7</xdr:col>
      <xdr:colOff>209550</xdr:colOff>
      <xdr:row>42</xdr:row>
      <xdr:rowOff>104775</xdr:rowOff>
    </xdr:from>
    <xdr:to>
      <xdr:col>7</xdr:col>
      <xdr:colOff>304800</xdr:colOff>
      <xdr:row>43</xdr:row>
      <xdr:rowOff>0</xdr:rowOff>
    </xdr:to>
    <xdr:sp macro="" textlink="">
      <xdr:nvSpPr>
        <xdr:cNvPr id="11" name="Line 14"/>
        <xdr:cNvSpPr>
          <a:spLocks noChangeShapeType="1"/>
        </xdr:cNvSpPr>
      </xdr:nvSpPr>
      <xdr:spPr bwMode="auto">
        <a:xfrm>
          <a:off x="4476750" y="6905625"/>
          <a:ext cx="95250" cy="5715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</xdr:col>
      <xdr:colOff>219075</xdr:colOff>
      <xdr:row>42</xdr:row>
      <xdr:rowOff>114300</xdr:rowOff>
    </xdr:from>
    <xdr:to>
      <xdr:col>7</xdr:col>
      <xdr:colOff>295275</xdr:colOff>
      <xdr:row>43</xdr:row>
      <xdr:rowOff>9525</xdr:rowOff>
    </xdr:to>
    <xdr:sp macro="" textlink="">
      <xdr:nvSpPr>
        <xdr:cNvPr id="12" name="Line 15"/>
        <xdr:cNvSpPr>
          <a:spLocks noChangeShapeType="1"/>
        </xdr:cNvSpPr>
      </xdr:nvSpPr>
      <xdr:spPr bwMode="auto">
        <a:xfrm flipH="1" flipV="1">
          <a:off x="4486275" y="6915150"/>
          <a:ext cx="76200" cy="5715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</xdr:col>
      <xdr:colOff>295275</xdr:colOff>
      <xdr:row>42</xdr:row>
      <xdr:rowOff>0</xdr:rowOff>
    </xdr:from>
    <xdr:to>
      <xdr:col>7</xdr:col>
      <xdr:colOff>304800</xdr:colOff>
      <xdr:row>42</xdr:row>
      <xdr:rowOff>123825</xdr:rowOff>
    </xdr:to>
    <xdr:sp macro="" textlink="">
      <xdr:nvSpPr>
        <xdr:cNvPr id="13" name="Line 16"/>
        <xdr:cNvSpPr>
          <a:spLocks noChangeShapeType="1"/>
        </xdr:cNvSpPr>
      </xdr:nvSpPr>
      <xdr:spPr bwMode="auto">
        <a:xfrm flipH="1">
          <a:off x="4562475" y="6800850"/>
          <a:ext cx="9525" cy="123825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</xdr:col>
      <xdr:colOff>295275</xdr:colOff>
      <xdr:row>43</xdr:row>
      <xdr:rowOff>57150</xdr:rowOff>
    </xdr:from>
    <xdr:to>
      <xdr:col>8</xdr:col>
      <xdr:colOff>152400</xdr:colOff>
      <xdr:row>44</xdr:row>
      <xdr:rowOff>28575</xdr:rowOff>
    </xdr:to>
    <xdr:sp macro="" textlink="">
      <xdr:nvSpPr>
        <xdr:cNvPr id="14" name="Line 17"/>
        <xdr:cNvSpPr>
          <a:spLocks noChangeShapeType="1"/>
        </xdr:cNvSpPr>
      </xdr:nvSpPr>
      <xdr:spPr bwMode="auto">
        <a:xfrm>
          <a:off x="4562475" y="7019925"/>
          <a:ext cx="466725" cy="13335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</xdr:col>
      <xdr:colOff>342900</xdr:colOff>
      <xdr:row>42</xdr:row>
      <xdr:rowOff>152400</xdr:rowOff>
    </xdr:from>
    <xdr:to>
      <xdr:col>8</xdr:col>
      <xdr:colOff>228600</xdr:colOff>
      <xdr:row>44</xdr:row>
      <xdr:rowOff>0</xdr:rowOff>
    </xdr:to>
    <xdr:sp macro="" textlink="">
      <xdr:nvSpPr>
        <xdr:cNvPr id="15" name="Line 18"/>
        <xdr:cNvSpPr>
          <a:spLocks noChangeShapeType="1"/>
        </xdr:cNvSpPr>
      </xdr:nvSpPr>
      <xdr:spPr bwMode="auto">
        <a:xfrm>
          <a:off x="4610100" y="6953250"/>
          <a:ext cx="495300" cy="17145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</xdr:col>
      <xdr:colOff>304800</xdr:colOff>
      <xdr:row>42</xdr:row>
      <xdr:rowOff>114300</xdr:rowOff>
    </xdr:from>
    <xdr:to>
      <xdr:col>7</xdr:col>
      <xdr:colOff>161925</xdr:colOff>
      <xdr:row>42</xdr:row>
      <xdr:rowOff>114300</xdr:rowOff>
    </xdr:to>
    <xdr:sp macro="" textlink="">
      <xdr:nvSpPr>
        <xdr:cNvPr id="16" name="Line 19"/>
        <xdr:cNvSpPr>
          <a:spLocks noChangeShapeType="1"/>
        </xdr:cNvSpPr>
      </xdr:nvSpPr>
      <xdr:spPr bwMode="auto">
        <a:xfrm>
          <a:off x="3962400" y="6915150"/>
          <a:ext cx="466725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</xdr:col>
      <xdr:colOff>295275</xdr:colOff>
      <xdr:row>42</xdr:row>
      <xdr:rowOff>19050</xdr:rowOff>
    </xdr:from>
    <xdr:to>
      <xdr:col>7</xdr:col>
      <xdr:colOff>295275</xdr:colOff>
      <xdr:row>42</xdr:row>
      <xdr:rowOff>114300</xdr:rowOff>
    </xdr:to>
    <xdr:sp macro="" textlink="">
      <xdr:nvSpPr>
        <xdr:cNvPr id="17" name="Line 20"/>
        <xdr:cNvSpPr>
          <a:spLocks noChangeShapeType="1"/>
        </xdr:cNvSpPr>
      </xdr:nvSpPr>
      <xdr:spPr bwMode="auto">
        <a:xfrm>
          <a:off x="4562475" y="6819900"/>
          <a:ext cx="0" cy="9525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</xdr:col>
      <xdr:colOff>266700</xdr:colOff>
      <xdr:row>41</xdr:row>
      <xdr:rowOff>104775</xdr:rowOff>
    </xdr:from>
    <xdr:to>
      <xdr:col>7</xdr:col>
      <xdr:colOff>361950</xdr:colOff>
      <xdr:row>42</xdr:row>
      <xdr:rowOff>47625</xdr:rowOff>
    </xdr:to>
    <xdr:sp macro="" textlink="">
      <xdr:nvSpPr>
        <xdr:cNvPr id="18" name="Oval 21"/>
        <xdr:cNvSpPr>
          <a:spLocks noChangeArrowheads="1"/>
        </xdr:cNvSpPr>
      </xdr:nvSpPr>
      <xdr:spPr bwMode="auto">
        <a:xfrm>
          <a:off x="4533900" y="6743700"/>
          <a:ext cx="95250" cy="104775"/>
        </a:xfrm>
        <a:prstGeom prst="ellipse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</xdr:spPr>
    </xdr:sp>
    <xdr:clientData/>
  </xdr:twoCellAnchor>
  <xdr:twoCellAnchor>
    <xdr:from>
      <xdr:col>6</xdr:col>
      <xdr:colOff>295275</xdr:colOff>
      <xdr:row>42</xdr:row>
      <xdr:rowOff>0</xdr:rowOff>
    </xdr:from>
    <xdr:to>
      <xdr:col>6</xdr:col>
      <xdr:colOff>295275</xdr:colOff>
      <xdr:row>42</xdr:row>
      <xdr:rowOff>104775</xdr:rowOff>
    </xdr:to>
    <xdr:sp macro="" textlink="">
      <xdr:nvSpPr>
        <xdr:cNvPr id="19" name="Line 22"/>
        <xdr:cNvSpPr>
          <a:spLocks noChangeShapeType="1"/>
        </xdr:cNvSpPr>
      </xdr:nvSpPr>
      <xdr:spPr bwMode="auto">
        <a:xfrm>
          <a:off x="3952875" y="6800850"/>
          <a:ext cx="0" cy="104775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</xdr:col>
      <xdr:colOff>295275</xdr:colOff>
      <xdr:row>42</xdr:row>
      <xdr:rowOff>104775</xdr:rowOff>
    </xdr:from>
    <xdr:to>
      <xdr:col>7</xdr:col>
      <xdr:colOff>161925</xdr:colOff>
      <xdr:row>42</xdr:row>
      <xdr:rowOff>104775</xdr:rowOff>
    </xdr:to>
    <xdr:sp macro="" textlink="">
      <xdr:nvSpPr>
        <xdr:cNvPr id="20" name="Line 23"/>
        <xdr:cNvSpPr>
          <a:spLocks noChangeShapeType="1"/>
        </xdr:cNvSpPr>
      </xdr:nvSpPr>
      <xdr:spPr bwMode="auto">
        <a:xfrm>
          <a:off x="3952875" y="6905625"/>
          <a:ext cx="476250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</xdr:col>
      <xdr:colOff>276225</xdr:colOff>
      <xdr:row>42</xdr:row>
      <xdr:rowOff>57150</xdr:rowOff>
    </xdr:from>
    <xdr:to>
      <xdr:col>6</xdr:col>
      <xdr:colOff>371475</xdr:colOff>
      <xdr:row>43</xdr:row>
      <xdr:rowOff>85725</xdr:rowOff>
    </xdr:to>
    <xdr:sp macro="" textlink="">
      <xdr:nvSpPr>
        <xdr:cNvPr id="21" name="Line 24"/>
        <xdr:cNvSpPr>
          <a:spLocks noChangeShapeType="1"/>
        </xdr:cNvSpPr>
      </xdr:nvSpPr>
      <xdr:spPr bwMode="auto">
        <a:xfrm flipH="1">
          <a:off x="3933825" y="6858000"/>
          <a:ext cx="95250" cy="19050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</xdr:col>
      <xdr:colOff>371475</xdr:colOff>
      <xdr:row>42</xdr:row>
      <xdr:rowOff>161925</xdr:rowOff>
    </xdr:from>
    <xdr:to>
      <xdr:col>6</xdr:col>
      <xdr:colOff>504825</xdr:colOff>
      <xdr:row>44</xdr:row>
      <xdr:rowOff>104775</xdr:rowOff>
    </xdr:to>
    <xdr:sp macro="" textlink="">
      <xdr:nvSpPr>
        <xdr:cNvPr id="22" name="Line 25"/>
        <xdr:cNvSpPr>
          <a:spLocks noChangeShapeType="1"/>
        </xdr:cNvSpPr>
      </xdr:nvSpPr>
      <xdr:spPr bwMode="auto">
        <a:xfrm flipH="1">
          <a:off x="4029075" y="6962775"/>
          <a:ext cx="133350" cy="26670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</xdr:col>
      <xdr:colOff>552450</xdr:colOff>
      <xdr:row>43</xdr:row>
      <xdr:rowOff>28575</xdr:rowOff>
    </xdr:from>
    <xdr:to>
      <xdr:col>7</xdr:col>
      <xdr:colOff>161925</xdr:colOff>
      <xdr:row>45</xdr:row>
      <xdr:rowOff>9525</xdr:rowOff>
    </xdr:to>
    <xdr:sp macro="" textlink="">
      <xdr:nvSpPr>
        <xdr:cNvPr id="23" name="Line 26"/>
        <xdr:cNvSpPr>
          <a:spLocks noChangeShapeType="1"/>
        </xdr:cNvSpPr>
      </xdr:nvSpPr>
      <xdr:spPr bwMode="auto">
        <a:xfrm flipV="1">
          <a:off x="4210050" y="6991350"/>
          <a:ext cx="219075" cy="30480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</xdr:col>
      <xdr:colOff>266700</xdr:colOff>
      <xdr:row>42</xdr:row>
      <xdr:rowOff>76200</xdr:rowOff>
    </xdr:from>
    <xdr:to>
      <xdr:col>6</xdr:col>
      <xdr:colOff>190500</xdr:colOff>
      <xdr:row>42</xdr:row>
      <xdr:rowOff>85725</xdr:rowOff>
    </xdr:to>
    <xdr:sp macro="" textlink="">
      <xdr:nvSpPr>
        <xdr:cNvPr id="24" name="Line 27"/>
        <xdr:cNvSpPr>
          <a:spLocks noChangeShapeType="1"/>
        </xdr:cNvSpPr>
      </xdr:nvSpPr>
      <xdr:spPr bwMode="auto">
        <a:xfrm flipV="1">
          <a:off x="3314700" y="6877050"/>
          <a:ext cx="533400" cy="9525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</xdr:col>
      <xdr:colOff>476250</xdr:colOff>
      <xdr:row>31</xdr:row>
      <xdr:rowOff>95250</xdr:rowOff>
    </xdr:from>
    <xdr:to>
      <xdr:col>10</xdr:col>
      <xdr:colOff>561975</xdr:colOff>
      <xdr:row>31</xdr:row>
      <xdr:rowOff>95250</xdr:rowOff>
    </xdr:to>
    <xdr:sp macro="" textlink="">
      <xdr:nvSpPr>
        <xdr:cNvPr id="25" name="Line 28"/>
        <xdr:cNvSpPr>
          <a:spLocks noChangeShapeType="1"/>
        </xdr:cNvSpPr>
      </xdr:nvSpPr>
      <xdr:spPr bwMode="auto">
        <a:xfrm>
          <a:off x="5962650" y="5114925"/>
          <a:ext cx="695325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</xdr:col>
      <xdr:colOff>66675</xdr:colOff>
      <xdr:row>31</xdr:row>
      <xdr:rowOff>76200</xdr:rowOff>
    </xdr:from>
    <xdr:to>
      <xdr:col>6</xdr:col>
      <xdr:colOff>266700</xdr:colOff>
      <xdr:row>31</xdr:row>
      <xdr:rowOff>76200</xdr:rowOff>
    </xdr:to>
    <xdr:sp macro="" textlink="">
      <xdr:nvSpPr>
        <xdr:cNvPr id="26" name="Line 29"/>
        <xdr:cNvSpPr>
          <a:spLocks noChangeShapeType="1"/>
        </xdr:cNvSpPr>
      </xdr:nvSpPr>
      <xdr:spPr bwMode="auto">
        <a:xfrm flipH="1">
          <a:off x="3724275" y="5095875"/>
          <a:ext cx="200025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</xdr:col>
      <xdr:colOff>333375</xdr:colOff>
      <xdr:row>33</xdr:row>
      <xdr:rowOff>9525</xdr:rowOff>
    </xdr:from>
    <xdr:to>
      <xdr:col>7</xdr:col>
      <xdr:colOff>361950</xdr:colOff>
      <xdr:row>35</xdr:row>
      <xdr:rowOff>0</xdr:rowOff>
    </xdr:to>
    <xdr:sp macro="" textlink="">
      <xdr:nvSpPr>
        <xdr:cNvPr id="27" name="Line 30"/>
        <xdr:cNvSpPr>
          <a:spLocks noChangeShapeType="1"/>
        </xdr:cNvSpPr>
      </xdr:nvSpPr>
      <xdr:spPr bwMode="auto">
        <a:xfrm flipH="1">
          <a:off x="3990975" y="5353050"/>
          <a:ext cx="638175" cy="314325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</xdr:col>
      <xdr:colOff>276225</xdr:colOff>
      <xdr:row>33</xdr:row>
      <xdr:rowOff>19050</xdr:rowOff>
    </xdr:from>
    <xdr:to>
      <xdr:col>8</xdr:col>
      <xdr:colOff>304800</xdr:colOff>
      <xdr:row>35</xdr:row>
      <xdr:rowOff>9525</xdr:rowOff>
    </xdr:to>
    <xdr:sp macro="" textlink="">
      <xdr:nvSpPr>
        <xdr:cNvPr id="28" name="Line 31"/>
        <xdr:cNvSpPr>
          <a:spLocks noChangeShapeType="1"/>
        </xdr:cNvSpPr>
      </xdr:nvSpPr>
      <xdr:spPr bwMode="auto">
        <a:xfrm flipH="1">
          <a:off x="4543425" y="5362575"/>
          <a:ext cx="638175" cy="314325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</xdr:col>
      <xdr:colOff>542925</xdr:colOff>
      <xdr:row>33</xdr:row>
      <xdr:rowOff>19050</xdr:rowOff>
    </xdr:from>
    <xdr:to>
      <xdr:col>9</xdr:col>
      <xdr:colOff>571500</xdr:colOff>
      <xdr:row>35</xdr:row>
      <xdr:rowOff>9525</xdr:rowOff>
    </xdr:to>
    <xdr:sp macro="" textlink="">
      <xdr:nvSpPr>
        <xdr:cNvPr id="29" name="Line 32"/>
        <xdr:cNvSpPr>
          <a:spLocks noChangeShapeType="1"/>
        </xdr:cNvSpPr>
      </xdr:nvSpPr>
      <xdr:spPr bwMode="auto">
        <a:xfrm flipH="1">
          <a:off x="5419725" y="5362575"/>
          <a:ext cx="638175" cy="314325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</xdr:col>
      <xdr:colOff>304800</xdr:colOff>
      <xdr:row>33</xdr:row>
      <xdr:rowOff>0</xdr:rowOff>
    </xdr:from>
    <xdr:to>
      <xdr:col>11</xdr:col>
      <xdr:colOff>333375</xdr:colOff>
      <xdr:row>34</xdr:row>
      <xdr:rowOff>161925</xdr:rowOff>
    </xdr:to>
    <xdr:sp macro="" textlink="">
      <xdr:nvSpPr>
        <xdr:cNvPr id="30" name="Line 33"/>
        <xdr:cNvSpPr>
          <a:spLocks noChangeShapeType="1"/>
        </xdr:cNvSpPr>
      </xdr:nvSpPr>
      <xdr:spPr bwMode="auto">
        <a:xfrm flipH="1">
          <a:off x="6400800" y="5343525"/>
          <a:ext cx="638175" cy="32385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</xdr:col>
      <xdr:colOff>428625</xdr:colOff>
      <xdr:row>21</xdr:row>
      <xdr:rowOff>38100</xdr:rowOff>
    </xdr:from>
    <xdr:to>
      <xdr:col>8</xdr:col>
      <xdr:colOff>104775</xdr:colOff>
      <xdr:row>22</xdr:row>
      <xdr:rowOff>152400</xdr:rowOff>
    </xdr:to>
    <xdr:sp macro="" textlink="">
      <xdr:nvSpPr>
        <xdr:cNvPr id="31" name="Line 34"/>
        <xdr:cNvSpPr>
          <a:spLocks noChangeShapeType="1"/>
        </xdr:cNvSpPr>
      </xdr:nvSpPr>
      <xdr:spPr bwMode="auto">
        <a:xfrm flipV="1">
          <a:off x="4086225" y="3438525"/>
          <a:ext cx="895350" cy="276225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600075</xdr:colOff>
      <xdr:row>14</xdr:row>
      <xdr:rowOff>142875</xdr:rowOff>
    </xdr:from>
    <xdr:to>
      <xdr:col>10</xdr:col>
      <xdr:colOff>257175</xdr:colOff>
      <xdr:row>24</xdr:row>
      <xdr:rowOff>9525</xdr:rowOff>
    </xdr:to>
    <xdr:sp macro="" textlink="">
      <xdr:nvSpPr>
        <xdr:cNvPr id="32" name="Line 36"/>
        <xdr:cNvSpPr>
          <a:spLocks noChangeShapeType="1"/>
        </xdr:cNvSpPr>
      </xdr:nvSpPr>
      <xdr:spPr bwMode="auto">
        <a:xfrm flipV="1">
          <a:off x="1819275" y="2409825"/>
          <a:ext cx="4533900" cy="148590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</xdr:col>
      <xdr:colOff>523875</xdr:colOff>
      <xdr:row>43</xdr:row>
      <xdr:rowOff>142875</xdr:rowOff>
    </xdr:from>
    <xdr:to>
      <xdr:col>8</xdr:col>
      <xdr:colOff>0</xdr:colOff>
      <xdr:row>44</xdr:row>
      <xdr:rowOff>76200</xdr:rowOff>
    </xdr:to>
    <xdr:sp macro="" textlink="">
      <xdr:nvSpPr>
        <xdr:cNvPr id="33" name="Line 37"/>
        <xdr:cNvSpPr>
          <a:spLocks noChangeShapeType="1"/>
        </xdr:cNvSpPr>
      </xdr:nvSpPr>
      <xdr:spPr bwMode="auto">
        <a:xfrm flipH="1" flipV="1">
          <a:off x="4181475" y="7105650"/>
          <a:ext cx="695325" cy="9525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285750</xdr:colOff>
      <xdr:row>33</xdr:row>
      <xdr:rowOff>9525</xdr:rowOff>
    </xdr:from>
    <xdr:to>
      <xdr:col>6</xdr:col>
      <xdr:colOff>314325</xdr:colOff>
      <xdr:row>35</xdr:row>
      <xdr:rowOff>0</xdr:rowOff>
    </xdr:to>
    <xdr:sp macro="" textlink="">
      <xdr:nvSpPr>
        <xdr:cNvPr id="2" name="Line 1"/>
        <xdr:cNvSpPr>
          <a:spLocks noChangeShapeType="1"/>
        </xdr:cNvSpPr>
      </xdr:nvSpPr>
      <xdr:spPr bwMode="auto">
        <a:xfrm flipH="1">
          <a:off x="3333750" y="5353050"/>
          <a:ext cx="638175" cy="314325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</xdr:col>
      <xdr:colOff>285750</xdr:colOff>
      <xdr:row>42</xdr:row>
      <xdr:rowOff>95250</xdr:rowOff>
    </xdr:from>
    <xdr:to>
      <xdr:col>7</xdr:col>
      <xdr:colOff>171450</xdr:colOff>
      <xdr:row>42</xdr:row>
      <xdr:rowOff>95250</xdr:rowOff>
    </xdr:to>
    <xdr:sp macro="" textlink="">
      <xdr:nvSpPr>
        <xdr:cNvPr id="3" name="Line 6"/>
        <xdr:cNvSpPr>
          <a:spLocks noChangeShapeType="1"/>
        </xdr:cNvSpPr>
      </xdr:nvSpPr>
      <xdr:spPr bwMode="auto">
        <a:xfrm flipH="1">
          <a:off x="3943350" y="6896100"/>
          <a:ext cx="495300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</xdr:col>
      <xdr:colOff>304800</xdr:colOff>
      <xdr:row>42</xdr:row>
      <xdr:rowOff>9525</xdr:rowOff>
    </xdr:from>
    <xdr:to>
      <xdr:col>6</xdr:col>
      <xdr:colOff>304800</xdr:colOff>
      <xdr:row>42</xdr:row>
      <xdr:rowOff>95250</xdr:rowOff>
    </xdr:to>
    <xdr:sp macro="" textlink="">
      <xdr:nvSpPr>
        <xdr:cNvPr id="4" name="Line 7"/>
        <xdr:cNvSpPr>
          <a:spLocks noChangeShapeType="1"/>
        </xdr:cNvSpPr>
      </xdr:nvSpPr>
      <xdr:spPr bwMode="auto">
        <a:xfrm>
          <a:off x="3962400" y="6810375"/>
          <a:ext cx="0" cy="85725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</xdr:col>
      <xdr:colOff>161925</xdr:colOff>
      <xdr:row>42</xdr:row>
      <xdr:rowOff>38100</xdr:rowOff>
    </xdr:from>
    <xdr:to>
      <xdr:col>7</xdr:col>
      <xdr:colOff>161925</xdr:colOff>
      <xdr:row>42</xdr:row>
      <xdr:rowOff>161925</xdr:rowOff>
    </xdr:to>
    <xdr:sp macro="" textlink="">
      <xdr:nvSpPr>
        <xdr:cNvPr id="5" name="Line 8"/>
        <xdr:cNvSpPr>
          <a:spLocks noChangeShapeType="1"/>
        </xdr:cNvSpPr>
      </xdr:nvSpPr>
      <xdr:spPr bwMode="auto">
        <a:xfrm>
          <a:off x="4429125" y="6838950"/>
          <a:ext cx="0" cy="123825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</xdr:col>
      <xdr:colOff>200025</xdr:colOff>
      <xdr:row>42</xdr:row>
      <xdr:rowOff>38100</xdr:rowOff>
    </xdr:from>
    <xdr:to>
      <xdr:col>7</xdr:col>
      <xdr:colOff>200025</xdr:colOff>
      <xdr:row>42</xdr:row>
      <xdr:rowOff>161925</xdr:rowOff>
    </xdr:to>
    <xdr:sp macro="" textlink="">
      <xdr:nvSpPr>
        <xdr:cNvPr id="6" name="Line 9"/>
        <xdr:cNvSpPr>
          <a:spLocks noChangeShapeType="1"/>
        </xdr:cNvSpPr>
      </xdr:nvSpPr>
      <xdr:spPr bwMode="auto">
        <a:xfrm>
          <a:off x="4467225" y="6838950"/>
          <a:ext cx="0" cy="123825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</xdr:col>
      <xdr:colOff>95250</xdr:colOff>
      <xdr:row>42</xdr:row>
      <xdr:rowOff>47625</xdr:rowOff>
    </xdr:from>
    <xdr:to>
      <xdr:col>7</xdr:col>
      <xdr:colOff>266700</xdr:colOff>
      <xdr:row>42</xdr:row>
      <xdr:rowOff>152400</xdr:rowOff>
    </xdr:to>
    <xdr:sp macro="" textlink="">
      <xdr:nvSpPr>
        <xdr:cNvPr id="7" name="Line 10"/>
        <xdr:cNvSpPr>
          <a:spLocks noChangeShapeType="1"/>
        </xdr:cNvSpPr>
      </xdr:nvSpPr>
      <xdr:spPr bwMode="auto">
        <a:xfrm flipH="1">
          <a:off x="4362450" y="6848475"/>
          <a:ext cx="171450" cy="104775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</xdr:col>
      <xdr:colOff>209550</xdr:colOff>
      <xdr:row>42</xdr:row>
      <xdr:rowOff>95250</xdr:rowOff>
    </xdr:from>
    <xdr:to>
      <xdr:col>7</xdr:col>
      <xdr:colOff>304800</xdr:colOff>
      <xdr:row>43</xdr:row>
      <xdr:rowOff>38100</xdr:rowOff>
    </xdr:to>
    <xdr:sp macro="" textlink="">
      <xdr:nvSpPr>
        <xdr:cNvPr id="8" name="Line 11"/>
        <xdr:cNvSpPr>
          <a:spLocks noChangeShapeType="1"/>
        </xdr:cNvSpPr>
      </xdr:nvSpPr>
      <xdr:spPr bwMode="auto">
        <a:xfrm>
          <a:off x="4476750" y="6896100"/>
          <a:ext cx="95250" cy="104775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</xdr:col>
      <xdr:colOff>285750</xdr:colOff>
      <xdr:row>42</xdr:row>
      <xdr:rowOff>142875</xdr:rowOff>
    </xdr:from>
    <xdr:to>
      <xdr:col>7</xdr:col>
      <xdr:colOff>295275</xdr:colOff>
      <xdr:row>43</xdr:row>
      <xdr:rowOff>19050</xdr:rowOff>
    </xdr:to>
    <xdr:sp macro="" textlink="">
      <xdr:nvSpPr>
        <xdr:cNvPr id="9" name="Oval 12"/>
        <xdr:cNvSpPr>
          <a:spLocks noChangeArrowheads="1"/>
        </xdr:cNvSpPr>
      </xdr:nvSpPr>
      <xdr:spPr bwMode="auto">
        <a:xfrm>
          <a:off x="4552950" y="6943725"/>
          <a:ext cx="9525" cy="38100"/>
        </a:xfrm>
        <a:prstGeom prst="ellipse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</xdr:spPr>
    </xdr:sp>
    <xdr:clientData/>
  </xdr:twoCellAnchor>
  <xdr:twoCellAnchor>
    <xdr:from>
      <xdr:col>7</xdr:col>
      <xdr:colOff>257175</xdr:colOff>
      <xdr:row>42</xdr:row>
      <xdr:rowOff>123825</xdr:rowOff>
    </xdr:from>
    <xdr:to>
      <xdr:col>7</xdr:col>
      <xdr:colOff>342900</xdr:colOff>
      <xdr:row>43</xdr:row>
      <xdr:rowOff>47625</xdr:rowOff>
    </xdr:to>
    <xdr:sp macro="" textlink="">
      <xdr:nvSpPr>
        <xdr:cNvPr id="10" name="Oval 13"/>
        <xdr:cNvSpPr>
          <a:spLocks noChangeArrowheads="1"/>
        </xdr:cNvSpPr>
      </xdr:nvSpPr>
      <xdr:spPr bwMode="auto">
        <a:xfrm>
          <a:off x="4524375" y="6924675"/>
          <a:ext cx="85725" cy="85725"/>
        </a:xfrm>
        <a:prstGeom prst="ellipse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</xdr:spPr>
    </xdr:sp>
    <xdr:clientData/>
  </xdr:twoCellAnchor>
  <xdr:twoCellAnchor>
    <xdr:from>
      <xdr:col>7</xdr:col>
      <xdr:colOff>209550</xdr:colOff>
      <xdr:row>42</xdr:row>
      <xdr:rowOff>104775</xdr:rowOff>
    </xdr:from>
    <xdr:to>
      <xdr:col>7</xdr:col>
      <xdr:colOff>304800</xdr:colOff>
      <xdr:row>43</xdr:row>
      <xdr:rowOff>0</xdr:rowOff>
    </xdr:to>
    <xdr:sp macro="" textlink="">
      <xdr:nvSpPr>
        <xdr:cNvPr id="11" name="Line 14"/>
        <xdr:cNvSpPr>
          <a:spLocks noChangeShapeType="1"/>
        </xdr:cNvSpPr>
      </xdr:nvSpPr>
      <xdr:spPr bwMode="auto">
        <a:xfrm>
          <a:off x="4476750" y="6905625"/>
          <a:ext cx="95250" cy="5715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</xdr:col>
      <xdr:colOff>219075</xdr:colOff>
      <xdr:row>42</xdr:row>
      <xdr:rowOff>114300</xdr:rowOff>
    </xdr:from>
    <xdr:to>
      <xdr:col>7</xdr:col>
      <xdr:colOff>295275</xdr:colOff>
      <xdr:row>43</xdr:row>
      <xdr:rowOff>9525</xdr:rowOff>
    </xdr:to>
    <xdr:sp macro="" textlink="">
      <xdr:nvSpPr>
        <xdr:cNvPr id="12" name="Line 15"/>
        <xdr:cNvSpPr>
          <a:spLocks noChangeShapeType="1"/>
        </xdr:cNvSpPr>
      </xdr:nvSpPr>
      <xdr:spPr bwMode="auto">
        <a:xfrm flipH="1" flipV="1">
          <a:off x="4486275" y="6915150"/>
          <a:ext cx="76200" cy="5715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</xdr:col>
      <xdr:colOff>295275</xdr:colOff>
      <xdr:row>42</xdr:row>
      <xdr:rowOff>0</xdr:rowOff>
    </xdr:from>
    <xdr:to>
      <xdr:col>7</xdr:col>
      <xdr:colOff>304800</xdr:colOff>
      <xdr:row>42</xdr:row>
      <xdr:rowOff>123825</xdr:rowOff>
    </xdr:to>
    <xdr:sp macro="" textlink="">
      <xdr:nvSpPr>
        <xdr:cNvPr id="13" name="Line 16"/>
        <xdr:cNvSpPr>
          <a:spLocks noChangeShapeType="1"/>
        </xdr:cNvSpPr>
      </xdr:nvSpPr>
      <xdr:spPr bwMode="auto">
        <a:xfrm flipH="1">
          <a:off x="4562475" y="6800850"/>
          <a:ext cx="9525" cy="123825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</xdr:col>
      <xdr:colOff>295275</xdr:colOff>
      <xdr:row>43</xdr:row>
      <xdr:rowOff>57150</xdr:rowOff>
    </xdr:from>
    <xdr:to>
      <xdr:col>8</xdr:col>
      <xdr:colOff>152400</xdr:colOff>
      <xdr:row>44</xdr:row>
      <xdr:rowOff>28575</xdr:rowOff>
    </xdr:to>
    <xdr:sp macro="" textlink="">
      <xdr:nvSpPr>
        <xdr:cNvPr id="14" name="Line 17"/>
        <xdr:cNvSpPr>
          <a:spLocks noChangeShapeType="1"/>
        </xdr:cNvSpPr>
      </xdr:nvSpPr>
      <xdr:spPr bwMode="auto">
        <a:xfrm>
          <a:off x="4562475" y="7019925"/>
          <a:ext cx="466725" cy="13335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</xdr:col>
      <xdr:colOff>342900</xdr:colOff>
      <xdr:row>42</xdr:row>
      <xdr:rowOff>152400</xdr:rowOff>
    </xdr:from>
    <xdr:to>
      <xdr:col>8</xdr:col>
      <xdr:colOff>228600</xdr:colOff>
      <xdr:row>44</xdr:row>
      <xdr:rowOff>0</xdr:rowOff>
    </xdr:to>
    <xdr:sp macro="" textlink="">
      <xdr:nvSpPr>
        <xdr:cNvPr id="15" name="Line 18"/>
        <xdr:cNvSpPr>
          <a:spLocks noChangeShapeType="1"/>
        </xdr:cNvSpPr>
      </xdr:nvSpPr>
      <xdr:spPr bwMode="auto">
        <a:xfrm>
          <a:off x="4610100" y="6953250"/>
          <a:ext cx="495300" cy="17145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</xdr:col>
      <xdr:colOff>304800</xdr:colOff>
      <xdr:row>42</xdr:row>
      <xdr:rowOff>114300</xdr:rowOff>
    </xdr:from>
    <xdr:to>
      <xdr:col>7</xdr:col>
      <xdr:colOff>161925</xdr:colOff>
      <xdr:row>42</xdr:row>
      <xdr:rowOff>114300</xdr:rowOff>
    </xdr:to>
    <xdr:sp macro="" textlink="">
      <xdr:nvSpPr>
        <xdr:cNvPr id="16" name="Line 19"/>
        <xdr:cNvSpPr>
          <a:spLocks noChangeShapeType="1"/>
        </xdr:cNvSpPr>
      </xdr:nvSpPr>
      <xdr:spPr bwMode="auto">
        <a:xfrm>
          <a:off x="3962400" y="6915150"/>
          <a:ext cx="466725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</xdr:col>
      <xdr:colOff>295275</xdr:colOff>
      <xdr:row>42</xdr:row>
      <xdr:rowOff>19050</xdr:rowOff>
    </xdr:from>
    <xdr:to>
      <xdr:col>7</xdr:col>
      <xdr:colOff>295275</xdr:colOff>
      <xdr:row>42</xdr:row>
      <xdr:rowOff>114300</xdr:rowOff>
    </xdr:to>
    <xdr:sp macro="" textlink="">
      <xdr:nvSpPr>
        <xdr:cNvPr id="17" name="Line 20"/>
        <xdr:cNvSpPr>
          <a:spLocks noChangeShapeType="1"/>
        </xdr:cNvSpPr>
      </xdr:nvSpPr>
      <xdr:spPr bwMode="auto">
        <a:xfrm>
          <a:off x="4562475" y="6819900"/>
          <a:ext cx="0" cy="9525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</xdr:col>
      <xdr:colOff>266700</xdr:colOff>
      <xdr:row>41</xdr:row>
      <xdr:rowOff>104775</xdr:rowOff>
    </xdr:from>
    <xdr:to>
      <xdr:col>7</xdr:col>
      <xdr:colOff>361950</xdr:colOff>
      <xdr:row>42</xdr:row>
      <xdr:rowOff>47625</xdr:rowOff>
    </xdr:to>
    <xdr:sp macro="" textlink="">
      <xdr:nvSpPr>
        <xdr:cNvPr id="18" name="Oval 21"/>
        <xdr:cNvSpPr>
          <a:spLocks noChangeArrowheads="1"/>
        </xdr:cNvSpPr>
      </xdr:nvSpPr>
      <xdr:spPr bwMode="auto">
        <a:xfrm>
          <a:off x="4533900" y="6743700"/>
          <a:ext cx="95250" cy="104775"/>
        </a:xfrm>
        <a:prstGeom prst="ellipse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</xdr:spPr>
    </xdr:sp>
    <xdr:clientData/>
  </xdr:twoCellAnchor>
  <xdr:twoCellAnchor>
    <xdr:from>
      <xdr:col>6</xdr:col>
      <xdr:colOff>295275</xdr:colOff>
      <xdr:row>42</xdr:row>
      <xdr:rowOff>0</xdr:rowOff>
    </xdr:from>
    <xdr:to>
      <xdr:col>6</xdr:col>
      <xdr:colOff>295275</xdr:colOff>
      <xdr:row>42</xdr:row>
      <xdr:rowOff>104775</xdr:rowOff>
    </xdr:to>
    <xdr:sp macro="" textlink="">
      <xdr:nvSpPr>
        <xdr:cNvPr id="19" name="Line 22"/>
        <xdr:cNvSpPr>
          <a:spLocks noChangeShapeType="1"/>
        </xdr:cNvSpPr>
      </xdr:nvSpPr>
      <xdr:spPr bwMode="auto">
        <a:xfrm>
          <a:off x="3952875" y="6800850"/>
          <a:ext cx="0" cy="104775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</xdr:col>
      <xdr:colOff>295275</xdr:colOff>
      <xdr:row>42</xdr:row>
      <xdr:rowOff>104775</xdr:rowOff>
    </xdr:from>
    <xdr:to>
      <xdr:col>7</xdr:col>
      <xdr:colOff>161925</xdr:colOff>
      <xdr:row>42</xdr:row>
      <xdr:rowOff>104775</xdr:rowOff>
    </xdr:to>
    <xdr:sp macro="" textlink="">
      <xdr:nvSpPr>
        <xdr:cNvPr id="20" name="Line 23"/>
        <xdr:cNvSpPr>
          <a:spLocks noChangeShapeType="1"/>
        </xdr:cNvSpPr>
      </xdr:nvSpPr>
      <xdr:spPr bwMode="auto">
        <a:xfrm>
          <a:off x="3952875" y="6905625"/>
          <a:ext cx="476250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</xdr:col>
      <xdr:colOff>276225</xdr:colOff>
      <xdr:row>42</xdr:row>
      <xdr:rowOff>57150</xdr:rowOff>
    </xdr:from>
    <xdr:to>
      <xdr:col>6</xdr:col>
      <xdr:colOff>371475</xdr:colOff>
      <xdr:row>43</xdr:row>
      <xdr:rowOff>85725</xdr:rowOff>
    </xdr:to>
    <xdr:sp macro="" textlink="">
      <xdr:nvSpPr>
        <xdr:cNvPr id="21" name="Line 24"/>
        <xdr:cNvSpPr>
          <a:spLocks noChangeShapeType="1"/>
        </xdr:cNvSpPr>
      </xdr:nvSpPr>
      <xdr:spPr bwMode="auto">
        <a:xfrm flipH="1">
          <a:off x="3933825" y="6858000"/>
          <a:ext cx="95250" cy="19050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</xdr:col>
      <xdr:colOff>371475</xdr:colOff>
      <xdr:row>42</xdr:row>
      <xdr:rowOff>161925</xdr:rowOff>
    </xdr:from>
    <xdr:to>
      <xdr:col>6</xdr:col>
      <xdr:colOff>504825</xdr:colOff>
      <xdr:row>44</xdr:row>
      <xdr:rowOff>104775</xdr:rowOff>
    </xdr:to>
    <xdr:sp macro="" textlink="">
      <xdr:nvSpPr>
        <xdr:cNvPr id="22" name="Line 25"/>
        <xdr:cNvSpPr>
          <a:spLocks noChangeShapeType="1"/>
        </xdr:cNvSpPr>
      </xdr:nvSpPr>
      <xdr:spPr bwMode="auto">
        <a:xfrm flipH="1">
          <a:off x="4029075" y="6962775"/>
          <a:ext cx="133350" cy="26670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</xdr:col>
      <xdr:colOff>552450</xdr:colOff>
      <xdr:row>43</xdr:row>
      <xdr:rowOff>28575</xdr:rowOff>
    </xdr:from>
    <xdr:to>
      <xdr:col>7</xdr:col>
      <xdr:colOff>161925</xdr:colOff>
      <xdr:row>45</xdr:row>
      <xdr:rowOff>9525</xdr:rowOff>
    </xdr:to>
    <xdr:sp macro="" textlink="">
      <xdr:nvSpPr>
        <xdr:cNvPr id="23" name="Line 26"/>
        <xdr:cNvSpPr>
          <a:spLocks noChangeShapeType="1"/>
        </xdr:cNvSpPr>
      </xdr:nvSpPr>
      <xdr:spPr bwMode="auto">
        <a:xfrm flipV="1">
          <a:off x="4210050" y="6991350"/>
          <a:ext cx="219075" cy="30480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</xdr:col>
      <xdr:colOff>266700</xdr:colOff>
      <xdr:row>42</xdr:row>
      <xdr:rowOff>76200</xdr:rowOff>
    </xdr:from>
    <xdr:to>
      <xdr:col>6</xdr:col>
      <xdr:colOff>190500</xdr:colOff>
      <xdr:row>42</xdr:row>
      <xdr:rowOff>85725</xdr:rowOff>
    </xdr:to>
    <xdr:sp macro="" textlink="">
      <xdr:nvSpPr>
        <xdr:cNvPr id="24" name="Line 27"/>
        <xdr:cNvSpPr>
          <a:spLocks noChangeShapeType="1"/>
        </xdr:cNvSpPr>
      </xdr:nvSpPr>
      <xdr:spPr bwMode="auto">
        <a:xfrm flipV="1">
          <a:off x="3314700" y="6877050"/>
          <a:ext cx="533400" cy="9525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</xdr:col>
      <xdr:colOff>476250</xdr:colOff>
      <xdr:row>31</xdr:row>
      <xdr:rowOff>95250</xdr:rowOff>
    </xdr:from>
    <xdr:to>
      <xdr:col>10</xdr:col>
      <xdr:colOff>561975</xdr:colOff>
      <xdr:row>31</xdr:row>
      <xdr:rowOff>95250</xdr:rowOff>
    </xdr:to>
    <xdr:sp macro="" textlink="">
      <xdr:nvSpPr>
        <xdr:cNvPr id="25" name="Line 28"/>
        <xdr:cNvSpPr>
          <a:spLocks noChangeShapeType="1"/>
        </xdr:cNvSpPr>
      </xdr:nvSpPr>
      <xdr:spPr bwMode="auto">
        <a:xfrm>
          <a:off x="5962650" y="5114925"/>
          <a:ext cx="695325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</xdr:col>
      <xdr:colOff>590550</xdr:colOff>
      <xdr:row>31</xdr:row>
      <xdr:rowOff>66675</xdr:rowOff>
    </xdr:from>
    <xdr:to>
      <xdr:col>6</xdr:col>
      <xdr:colOff>180975</xdr:colOff>
      <xdr:row>31</xdr:row>
      <xdr:rowOff>66675</xdr:rowOff>
    </xdr:to>
    <xdr:sp macro="" textlink="">
      <xdr:nvSpPr>
        <xdr:cNvPr id="26" name="Line 29"/>
        <xdr:cNvSpPr>
          <a:spLocks noChangeShapeType="1"/>
        </xdr:cNvSpPr>
      </xdr:nvSpPr>
      <xdr:spPr bwMode="auto">
        <a:xfrm flipH="1">
          <a:off x="3638550" y="5086350"/>
          <a:ext cx="200025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</xdr:col>
      <xdr:colOff>333375</xdr:colOff>
      <xdr:row>33</xdr:row>
      <xdr:rowOff>9525</xdr:rowOff>
    </xdr:from>
    <xdr:to>
      <xdr:col>7</xdr:col>
      <xdr:colOff>361950</xdr:colOff>
      <xdr:row>35</xdr:row>
      <xdr:rowOff>0</xdr:rowOff>
    </xdr:to>
    <xdr:sp macro="" textlink="">
      <xdr:nvSpPr>
        <xdr:cNvPr id="27" name="Line 30"/>
        <xdr:cNvSpPr>
          <a:spLocks noChangeShapeType="1"/>
        </xdr:cNvSpPr>
      </xdr:nvSpPr>
      <xdr:spPr bwMode="auto">
        <a:xfrm flipH="1">
          <a:off x="3990975" y="5353050"/>
          <a:ext cx="638175" cy="314325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</xdr:col>
      <xdr:colOff>276225</xdr:colOff>
      <xdr:row>33</xdr:row>
      <xdr:rowOff>19050</xdr:rowOff>
    </xdr:from>
    <xdr:to>
      <xdr:col>8</xdr:col>
      <xdr:colOff>304800</xdr:colOff>
      <xdr:row>35</xdr:row>
      <xdr:rowOff>9525</xdr:rowOff>
    </xdr:to>
    <xdr:sp macro="" textlink="">
      <xdr:nvSpPr>
        <xdr:cNvPr id="28" name="Line 31"/>
        <xdr:cNvSpPr>
          <a:spLocks noChangeShapeType="1"/>
        </xdr:cNvSpPr>
      </xdr:nvSpPr>
      <xdr:spPr bwMode="auto">
        <a:xfrm flipH="1">
          <a:off x="4543425" y="5362575"/>
          <a:ext cx="638175" cy="314325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</xdr:col>
      <xdr:colOff>542925</xdr:colOff>
      <xdr:row>33</xdr:row>
      <xdr:rowOff>19050</xdr:rowOff>
    </xdr:from>
    <xdr:to>
      <xdr:col>9</xdr:col>
      <xdr:colOff>571500</xdr:colOff>
      <xdr:row>35</xdr:row>
      <xdr:rowOff>9525</xdr:rowOff>
    </xdr:to>
    <xdr:sp macro="" textlink="">
      <xdr:nvSpPr>
        <xdr:cNvPr id="29" name="Line 32"/>
        <xdr:cNvSpPr>
          <a:spLocks noChangeShapeType="1"/>
        </xdr:cNvSpPr>
      </xdr:nvSpPr>
      <xdr:spPr bwMode="auto">
        <a:xfrm flipH="1">
          <a:off x="5419725" y="5362575"/>
          <a:ext cx="638175" cy="314325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</xdr:col>
      <xdr:colOff>304800</xdr:colOff>
      <xdr:row>33</xdr:row>
      <xdr:rowOff>0</xdr:rowOff>
    </xdr:from>
    <xdr:to>
      <xdr:col>11</xdr:col>
      <xdr:colOff>333375</xdr:colOff>
      <xdr:row>34</xdr:row>
      <xdr:rowOff>161925</xdr:rowOff>
    </xdr:to>
    <xdr:sp macro="" textlink="">
      <xdr:nvSpPr>
        <xdr:cNvPr id="30" name="Line 33"/>
        <xdr:cNvSpPr>
          <a:spLocks noChangeShapeType="1"/>
        </xdr:cNvSpPr>
      </xdr:nvSpPr>
      <xdr:spPr bwMode="auto">
        <a:xfrm flipH="1">
          <a:off x="6400800" y="5343525"/>
          <a:ext cx="638175" cy="32385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</xdr:col>
      <xdr:colOff>428625</xdr:colOff>
      <xdr:row>21</xdr:row>
      <xdr:rowOff>38100</xdr:rowOff>
    </xdr:from>
    <xdr:to>
      <xdr:col>8</xdr:col>
      <xdr:colOff>104775</xdr:colOff>
      <xdr:row>22</xdr:row>
      <xdr:rowOff>152400</xdr:rowOff>
    </xdr:to>
    <xdr:sp macro="" textlink="">
      <xdr:nvSpPr>
        <xdr:cNvPr id="31" name="Line 34"/>
        <xdr:cNvSpPr>
          <a:spLocks noChangeShapeType="1"/>
        </xdr:cNvSpPr>
      </xdr:nvSpPr>
      <xdr:spPr bwMode="auto">
        <a:xfrm flipV="1">
          <a:off x="4086225" y="3438525"/>
          <a:ext cx="895350" cy="276225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600075</xdr:colOff>
      <xdr:row>14</xdr:row>
      <xdr:rowOff>142875</xdr:rowOff>
    </xdr:from>
    <xdr:to>
      <xdr:col>10</xdr:col>
      <xdr:colOff>257175</xdr:colOff>
      <xdr:row>24</xdr:row>
      <xdr:rowOff>9525</xdr:rowOff>
    </xdr:to>
    <xdr:sp macro="" textlink="">
      <xdr:nvSpPr>
        <xdr:cNvPr id="32" name="Line 36"/>
        <xdr:cNvSpPr>
          <a:spLocks noChangeShapeType="1"/>
        </xdr:cNvSpPr>
      </xdr:nvSpPr>
      <xdr:spPr bwMode="auto">
        <a:xfrm flipV="1">
          <a:off x="1819275" y="2409825"/>
          <a:ext cx="4533900" cy="148590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</xdr:col>
      <xdr:colOff>514350</xdr:colOff>
      <xdr:row>44</xdr:row>
      <xdr:rowOff>19050</xdr:rowOff>
    </xdr:from>
    <xdr:to>
      <xdr:col>7</xdr:col>
      <xdr:colOff>657225</xdr:colOff>
      <xdr:row>44</xdr:row>
      <xdr:rowOff>85725</xdr:rowOff>
    </xdr:to>
    <xdr:sp macro="" textlink="">
      <xdr:nvSpPr>
        <xdr:cNvPr id="33" name="Line 37"/>
        <xdr:cNvSpPr>
          <a:spLocks noChangeShapeType="1"/>
        </xdr:cNvSpPr>
      </xdr:nvSpPr>
      <xdr:spPr bwMode="auto">
        <a:xfrm flipH="1" flipV="1">
          <a:off x="4171950" y="7143750"/>
          <a:ext cx="704850" cy="66675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285750</xdr:colOff>
      <xdr:row>33</xdr:row>
      <xdr:rowOff>9525</xdr:rowOff>
    </xdr:from>
    <xdr:to>
      <xdr:col>6</xdr:col>
      <xdr:colOff>314325</xdr:colOff>
      <xdr:row>35</xdr:row>
      <xdr:rowOff>0</xdr:rowOff>
    </xdr:to>
    <xdr:sp macro="" textlink="">
      <xdr:nvSpPr>
        <xdr:cNvPr id="2" name="Line 1"/>
        <xdr:cNvSpPr>
          <a:spLocks noChangeShapeType="1"/>
        </xdr:cNvSpPr>
      </xdr:nvSpPr>
      <xdr:spPr bwMode="auto">
        <a:xfrm flipH="1">
          <a:off x="3333750" y="5353050"/>
          <a:ext cx="638175" cy="314325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</xdr:col>
      <xdr:colOff>285750</xdr:colOff>
      <xdr:row>42</xdr:row>
      <xdr:rowOff>95250</xdr:rowOff>
    </xdr:from>
    <xdr:to>
      <xdr:col>7</xdr:col>
      <xdr:colOff>171450</xdr:colOff>
      <xdr:row>42</xdr:row>
      <xdr:rowOff>95250</xdr:rowOff>
    </xdr:to>
    <xdr:sp macro="" textlink="">
      <xdr:nvSpPr>
        <xdr:cNvPr id="3" name="Line 6"/>
        <xdr:cNvSpPr>
          <a:spLocks noChangeShapeType="1"/>
        </xdr:cNvSpPr>
      </xdr:nvSpPr>
      <xdr:spPr bwMode="auto">
        <a:xfrm flipH="1">
          <a:off x="3943350" y="6896100"/>
          <a:ext cx="495300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</xdr:col>
      <xdr:colOff>304800</xdr:colOff>
      <xdr:row>42</xdr:row>
      <xdr:rowOff>9525</xdr:rowOff>
    </xdr:from>
    <xdr:to>
      <xdr:col>6</xdr:col>
      <xdr:colOff>304800</xdr:colOff>
      <xdr:row>42</xdr:row>
      <xdr:rowOff>95250</xdr:rowOff>
    </xdr:to>
    <xdr:sp macro="" textlink="">
      <xdr:nvSpPr>
        <xdr:cNvPr id="4" name="Line 7"/>
        <xdr:cNvSpPr>
          <a:spLocks noChangeShapeType="1"/>
        </xdr:cNvSpPr>
      </xdr:nvSpPr>
      <xdr:spPr bwMode="auto">
        <a:xfrm>
          <a:off x="3962400" y="6810375"/>
          <a:ext cx="0" cy="85725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</xdr:col>
      <xdr:colOff>161925</xdr:colOff>
      <xdr:row>42</xdr:row>
      <xdr:rowOff>38100</xdr:rowOff>
    </xdr:from>
    <xdr:to>
      <xdr:col>7</xdr:col>
      <xdr:colOff>161925</xdr:colOff>
      <xdr:row>42</xdr:row>
      <xdr:rowOff>161925</xdr:rowOff>
    </xdr:to>
    <xdr:sp macro="" textlink="">
      <xdr:nvSpPr>
        <xdr:cNvPr id="5" name="Line 8"/>
        <xdr:cNvSpPr>
          <a:spLocks noChangeShapeType="1"/>
        </xdr:cNvSpPr>
      </xdr:nvSpPr>
      <xdr:spPr bwMode="auto">
        <a:xfrm>
          <a:off x="4429125" y="6838950"/>
          <a:ext cx="0" cy="123825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</xdr:col>
      <xdr:colOff>200025</xdr:colOff>
      <xdr:row>42</xdr:row>
      <xdr:rowOff>38100</xdr:rowOff>
    </xdr:from>
    <xdr:to>
      <xdr:col>7</xdr:col>
      <xdr:colOff>200025</xdr:colOff>
      <xdr:row>42</xdr:row>
      <xdr:rowOff>161925</xdr:rowOff>
    </xdr:to>
    <xdr:sp macro="" textlink="">
      <xdr:nvSpPr>
        <xdr:cNvPr id="6" name="Line 9"/>
        <xdr:cNvSpPr>
          <a:spLocks noChangeShapeType="1"/>
        </xdr:cNvSpPr>
      </xdr:nvSpPr>
      <xdr:spPr bwMode="auto">
        <a:xfrm>
          <a:off x="4467225" y="6838950"/>
          <a:ext cx="0" cy="123825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</xdr:col>
      <xdr:colOff>95250</xdr:colOff>
      <xdr:row>42</xdr:row>
      <xdr:rowOff>47625</xdr:rowOff>
    </xdr:from>
    <xdr:to>
      <xdr:col>7</xdr:col>
      <xdr:colOff>266700</xdr:colOff>
      <xdr:row>42</xdr:row>
      <xdr:rowOff>152400</xdr:rowOff>
    </xdr:to>
    <xdr:sp macro="" textlink="">
      <xdr:nvSpPr>
        <xdr:cNvPr id="7" name="Line 10"/>
        <xdr:cNvSpPr>
          <a:spLocks noChangeShapeType="1"/>
        </xdr:cNvSpPr>
      </xdr:nvSpPr>
      <xdr:spPr bwMode="auto">
        <a:xfrm flipH="1">
          <a:off x="4362450" y="6848475"/>
          <a:ext cx="171450" cy="104775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</xdr:col>
      <xdr:colOff>209550</xdr:colOff>
      <xdr:row>42</xdr:row>
      <xdr:rowOff>95250</xdr:rowOff>
    </xdr:from>
    <xdr:to>
      <xdr:col>7</xdr:col>
      <xdr:colOff>304800</xdr:colOff>
      <xdr:row>43</xdr:row>
      <xdr:rowOff>38100</xdr:rowOff>
    </xdr:to>
    <xdr:sp macro="" textlink="">
      <xdr:nvSpPr>
        <xdr:cNvPr id="8" name="Line 11"/>
        <xdr:cNvSpPr>
          <a:spLocks noChangeShapeType="1"/>
        </xdr:cNvSpPr>
      </xdr:nvSpPr>
      <xdr:spPr bwMode="auto">
        <a:xfrm>
          <a:off x="4476750" y="6896100"/>
          <a:ext cx="95250" cy="104775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</xdr:col>
      <xdr:colOff>285750</xdr:colOff>
      <xdr:row>42</xdr:row>
      <xdr:rowOff>142875</xdr:rowOff>
    </xdr:from>
    <xdr:to>
      <xdr:col>7</xdr:col>
      <xdr:colOff>295275</xdr:colOff>
      <xdr:row>43</xdr:row>
      <xdr:rowOff>19050</xdr:rowOff>
    </xdr:to>
    <xdr:sp macro="" textlink="">
      <xdr:nvSpPr>
        <xdr:cNvPr id="9" name="Oval 12"/>
        <xdr:cNvSpPr>
          <a:spLocks noChangeArrowheads="1"/>
        </xdr:cNvSpPr>
      </xdr:nvSpPr>
      <xdr:spPr bwMode="auto">
        <a:xfrm>
          <a:off x="4552950" y="6943725"/>
          <a:ext cx="9525" cy="38100"/>
        </a:xfrm>
        <a:prstGeom prst="ellipse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</xdr:spPr>
    </xdr:sp>
    <xdr:clientData/>
  </xdr:twoCellAnchor>
  <xdr:twoCellAnchor>
    <xdr:from>
      <xdr:col>7</xdr:col>
      <xdr:colOff>257175</xdr:colOff>
      <xdr:row>42</xdr:row>
      <xdr:rowOff>123825</xdr:rowOff>
    </xdr:from>
    <xdr:to>
      <xdr:col>7</xdr:col>
      <xdr:colOff>342900</xdr:colOff>
      <xdr:row>43</xdr:row>
      <xdr:rowOff>47625</xdr:rowOff>
    </xdr:to>
    <xdr:sp macro="" textlink="">
      <xdr:nvSpPr>
        <xdr:cNvPr id="10" name="Oval 13"/>
        <xdr:cNvSpPr>
          <a:spLocks noChangeArrowheads="1"/>
        </xdr:cNvSpPr>
      </xdr:nvSpPr>
      <xdr:spPr bwMode="auto">
        <a:xfrm>
          <a:off x="4524375" y="6924675"/>
          <a:ext cx="85725" cy="85725"/>
        </a:xfrm>
        <a:prstGeom prst="ellipse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</xdr:spPr>
    </xdr:sp>
    <xdr:clientData/>
  </xdr:twoCellAnchor>
  <xdr:twoCellAnchor>
    <xdr:from>
      <xdr:col>7</xdr:col>
      <xdr:colOff>209550</xdr:colOff>
      <xdr:row>42</xdr:row>
      <xdr:rowOff>104775</xdr:rowOff>
    </xdr:from>
    <xdr:to>
      <xdr:col>7</xdr:col>
      <xdr:colOff>304800</xdr:colOff>
      <xdr:row>43</xdr:row>
      <xdr:rowOff>0</xdr:rowOff>
    </xdr:to>
    <xdr:sp macro="" textlink="">
      <xdr:nvSpPr>
        <xdr:cNvPr id="11" name="Line 14"/>
        <xdr:cNvSpPr>
          <a:spLocks noChangeShapeType="1"/>
        </xdr:cNvSpPr>
      </xdr:nvSpPr>
      <xdr:spPr bwMode="auto">
        <a:xfrm>
          <a:off x="4476750" y="6905625"/>
          <a:ext cx="95250" cy="5715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</xdr:col>
      <xdr:colOff>219075</xdr:colOff>
      <xdr:row>42</xdr:row>
      <xdr:rowOff>114300</xdr:rowOff>
    </xdr:from>
    <xdr:to>
      <xdr:col>7</xdr:col>
      <xdr:colOff>295275</xdr:colOff>
      <xdr:row>43</xdr:row>
      <xdr:rowOff>9525</xdr:rowOff>
    </xdr:to>
    <xdr:sp macro="" textlink="">
      <xdr:nvSpPr>
        <xdr:cNvPr id="12" name="Line 15"/>
        <xdr:cNvSpPr>
          <a:spLocks noChangeShapeType="1"/>
        </xdr:cNvSpPr>
      </xdr:nvSpPr>
      <xdr:spPr bwMode="auto">
        <a:xfrm flipH="1" flipV="1">
          <a:off x="4486275" y="6915150"/>
          <a:ext cx="76200" cy="5715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</xdr:col>
      <xdr:colOff>295275</xdr:colOff>
      <xdr:row>42</xdr:row>
      <xdr:rowOff>0</xdr:rowOff>
    </xdr:from>
    <xdr:to>
      <xdr:col>7</xdr:col>
      <xdr:colOff>304800</xdr:colOff>
      <xdr:row>42</xdr:row>
      <xdr:rowOff>123825</xdr:rowOff>
    </xdr:to>
    <xdr:sp macro="" textlink="">
      <xdr:nvSpPr>
        <xdr:cNvPr id="13" name="Line 16"/>
        <xdr:cNvSpPr>
          <a:spLocks noChangeShapeType="1"/>
        </xdr:cNvSpPr>
      </xdr:nvSpPr>
      <xdr:spPr bwMode="auto">
        <a:xfrm flipH="1">
          <a:off x="4562475" y="6800850"/>
          <a:ext cx="9525" cy="123825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</xdr:col>
      <xdr:colOff>295275</xdr:colOff>
      <xdr:row>43</xdr:row>
      <xdr:rowOff>57150</xdr:rowOff>
    </xdr:from>
    <xdr:to>
      <xdr:col>8</xdr:col>
      <xdr:colOff>152400</xdr:colOff>
      <xdr:row>44</xdr:row>
      <xdr:rowOff>28575</xdr:rowOff>
    </xdr:to>
    <xdr:sp macro="" textlink="">
      <xdr:nvSpPr>
        <xdr:cNvPr id="14" name="Line 17"/>
        <xdr:cNvSpPr>
          <a:spLocks noChangeShapeType="1"/>
        </xdr:cNvSpPr>
      </xdr:nvSpPr>
      <xdr:spPr bwMode="auto">
        <a:xfrm>
          <a:off x="4562475" y="7019925"/>
          <a:ext cx="466725" cy="13335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</xdr:col>
      <xdr:colOff>342900</xdr:colOff>
      <xdr:row>42</xdr:row>
      <xdr:rowOff>152400</xdr:rowOff>
    </xdr:from>
    <xdr:to>
      <xdr:col>8</xdr:col>
      <xdr:colOff>228600</xdr:colOff>
      <xdr:row>44</xdr:row>
      <xdr:rowOff>0</xdr:rowOff>
    </xdr:to>
    <xdr:sp macro="" textlink="">
      <xdr:nvSpPr>
        <xdr:cNvPr id="15" name="Line 18"/>
        <xdr:cNvSpPr>
          <a:spLocks noChangeShapeType="1"/>
        </xdr:cNvSpPr>
      </xdr:nvSpPr>
      <xdr:spPr bwMode="auto">
        <a:xfrm>
          <a:off x="4610100" y="6953250"/>
          <a:ext cx="495300" cy="17145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</xdr:col>
      <xdr:colOff>304800</xdr:colOff>
      <xdr:row>42</xdr:row>
      <xdr:rowOff>114300</xdr:rowOff>
    </xdr:from>
    <xdr:to>
      <xdr:col>7</xdr:col>
      <xdr:colOff>161925</xdr:colOff>
      <xdr:row>42</xdr:row>
      <xdr:rowOff>114300</xdr:rowOff>
    </xdr:to>
    <xdr:sp macro="" textlink="">
      <xdr:nvSpPr>
        <xdr:cNvPr id="16" name="Line 19"/>
        <xdr:cNvSpPr>
          <a:spLocks noChangeShapeType="1"/>
        </xdr:cNvSpPr>
      </xdr:nvSpPr>
      <xdr:spPr bwMode="auto">
        <a:xfrm>
          <a:off x="3962400" y="6915150"/>
          <a:ext cx="466725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</xdr:col>
      <xdr:colOff>295275</xdr:colOff>
      <xdr:row>42</xdr:row>
      <xdr:rowOff>19050</xdr:rowOff>
    </xdr:from>
    <xdr:to>
      <xdr:col>7</xdr:col>
      <xdr:colOff>295275</xdr:colOff>
      <xdr:row>42</xdr:row>
      <xdr:rowOff>114300</xdr:rowOff>
    </xdr:to>
    <xdr:sp macro="" textlink="">
      <xdr:nvSpPr>
        <xdr:cNvPr id="17" name="Line 20"/>
        <xdr:cNvSpPr>
          <a:spLocks noChangeShapeType="1"/>
        </xdr:cNvSpPr>
      </xdr:nvSpPr>
      <xdr:spPr bwMode="auto">
        <a:xfrm>
          <a:off x="4562475" y="6819900"/>
          <a:ext cx="0" cy="9525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</xdr:col>
      <xdr:colOff>266700</xdr:colOff>
      <xdr:row>41</xdr:row>
      <xdr:rowOff>104775</xdr:rowOff>
    </xdr:from>
    <xdr:to>
      <xdr:col>7</xdr:col>
      <xdr:colOff>361950</xdr:colOff>
      <xdr:row>42</xdr:row>
      <xdr:rowOff>47625</xdr:rowOff>
    </xdr:to>
    <xdr:sp macro="" textlink="">
      <xdr:nvSpPr>
        <xdr:cNvPr id="18" name="Oval 21"/>
        <xdr:cNvSpPr>
          <a:spLocks noChangeArrowheads="1"/>
        </xdr:cNvSpPr>
      </xdr:nvSpPr>
      <xdr:spPr bwMode="auto">
        <a:xfrm>
          <a:off x="4533900" y="6743700"/>
          <a:ext cx="95250" cy="104775"/>
        </a:xfrm>
        <a:prstGeom prst="ellipse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</xdr:spPr>
    </xdr:sp>
    <xdr:clientData/>
  </xdr:twoCellAnchor>
  <xdr:twoCellAnchor>
    <xdr:from>
      <xdr:col>6</xdr:col>
      <xdr:colOff>295275</xdr:colOff>
      <xdr:row>42</xdr:row>
      <xdr:rowOff>0</xdr:rowOff>
    </xdr:from>
    <xdr:to>
      <xdr:col>6</xdr:col>
      <xdr:colOff>295275</xdr:colOff>
      <xdr:row>42</xdr:row>
      <xdr:rowOff>104775</xdr:rowOff>
    </xdr:to>
    <xdr:sp macro="" textlink="">
      <xdr:nvSpPr>
        <xdr:cNvPr id="19" name="Line 22"/>
        <xdr:cNvSpPr>
          <a:spLocks noChangeShapeType="1"/>
        </xdr:cNvSpPr>
      </xdr:nvSpPr>
      <xdr:spPr bwMode="auto">
        <a:xfrm>
          <a:off x="3952875" y="6800850"/>
          <a:ext cx="0" cy="104775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</xdr:col>
      <xdr:colOff>295275</xdr:colOff>
      <xdr:row>42</xdr:row>
      <xdr:rowOff>104775</xdr:rowOff>
    </xdr:from>
    <xdr:to>
      <xdr:col>7</xdr:col>
      <xdr:colOff>161925</xdr:colOff>
      <xdr:row>42</xdr:row>
      <xdr:rowOff>104775</xdr:rowOff>
    </xdr:to>
    <xdr:sp macro="" textlink="">
      <xdr:nvSpPr>
        <xdr:cNvPr id="20" name="Line 23"/>
        <xdr:cNvSpPr>
          <a:spLocks noChangeShapeType="1"/>
        </xdr:cNvSpPr>
      </xdr:nvSpPr>
      <xdr:spPr bwMode="auto">
        <a:xfrm>
          <a:off x="3952875" y="6905625"/>
          <a:ext cx="476250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</xdr:col>
      <xdr:colOff>276225</xdr:colOff>
      <xdr:row>42</xdr:row>
      <xdr:rowOff>57150</xdr:rowOff>
    </xdr:from>
    <xdr:to>
      <xdr:col>6</xdr:col>
      <xdr:colOff>371475</xdr:colOff>
      <xdr:row>43</xdr:row>
      <xdr:rowOff>85725</xdr:rowOff>
    </xdr:to>
    <xdr:sp macro="" textlink="">
      <xdr:nvSpPr>
        <xdr:cNvPr id="21" name="Line 24"/>
        <xdr:cNvSpPr>
          <a:spLocks noChangeShapeType="1"/>
        </xdr:cNvSpPr>
      </xdr:nvSpPr>
      <xdr:spPr bwMode="auto">
        <a:xfrm flipH="1">
          <a:off x="3933825" y="6858000"/>
          <a:ext cx="95250" cy="19050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</xdr:col>
      <xdr:colOff>371475</xdr:colOff>
      <xdr:row>42</xdr:row>
      <xdr:rowOff>161925</xdr:rowOff>
    </xdr:from>
    <xdr:to>
      <xdr:col>6</xdr:col>
      <xdr:colOff>504825</xdr:colOff>
      <xdr:row>44</xdr:row>
      <xdr:rowOff>104775</xdr:rowOff>
    </xdr:to>
    <xdr:sp macro="" textlink="">
      <xdr:nvSpPr>
        <xdr:cNvPr id="22" name="Line 25"/>
        <xdr:cNvSpPr>
          <a:spLocks noChangeShapeType="1"/>
        </xdr:cNvSpPr>
      </xdr:nvSpPr>
      <xdr:spPr bwMode="auto">
        <a:xfrm flipH="1">
          <a:off x="4029075" y="6962775"/>
          <a:ext cx="133350" cy="26670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</xdr:col>
      <xdr:colOff>552450</xdr:colOff>
      <xdr:row>43</xdr:row>
      <xdr:rowOff>28575</xdr:rowOff>
    </xdr:from>
    <xdr:to>
      <xdr:col>7</xdr:col>
      <xdr:colOff>161925</xdr:colOff>
      <xdr:row>45</xdr:row>
      <xdr:rowOff>9525</xdr:rowOff>
    </xdr:to>
    <xdr:sp macro="" textlink="">
      <xdr:nvSpPr>
        <xdr:cNvPr id="23" name="Line 26"/>
        <xdr:cNvSpPr>
          <a:spLocks noChangeShapeType="1"/>
        </xdr:cNvSpPr>
      </xdr:nvSpPr>
      <xdr:spPr bwMode="auto">
        <a:xfrm flipV="1">
          <a:off x="4210050" y="6991350"/>
          <a:ext cx="219075" cy="30480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</xdr:col>
      <xdr:colOff>266700</xdr:colOff>
      <xdr:row>42</xdr:row>
      <xdr:rowOff>76200</xdr:rowOff>
    </xdr:from>
    <xdr:to>
      <xdr:col>6</xdr:col>
      <xdr:colOff>190500</xdr:colOff>
      <xdr:row>42</xdr:row>
      <xdr:rowOff>85725</xdr:rowOff>
    </xdr:to>
    <xdr:sp macro="" textlink="">
      <xdr:nvSpPr>
        <xdr:cNvPr id="24" name="Line 27"/>
        <xdr:cNvSpPr>
          <a:spLocks noChangeShapeType="1"/>
        </xdr:cNvSpPr>
      </xdr:nvSpPr>
      <xdr:spPr bwMode="auto">
        <a:xfrm flipV="1">
          <a:off x="3314700" y="6877050"/>
          <a:ext cx="533400" cy="9525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</xdr:col>
      <xdr:colOff>476250</xdr:colOff>
      <xdr:row>31</xdr:row>
      <xdr:rowOff>95250</xdr:rowOff>
    </xdr:from>
    <xdr:to>
      <xdr:col>10</xdr:col>
      <xdr:colOff>561975</xdr:colOff>
      <xdr:row>31</xdr:row>
      <xdr:rowOff>95250</xdr:rowOff>
    </xdr:to>
    <xdr:sp macro="" textlink="">
      <xdr:nvSpPr>
        <xdr:cNvPr id="25" name="Line 28"/>
        <xdr:cNvSpPr>
          <a:spLocks noChangeShapeType="1"/>
        </xdr:cNvSpPr>
      </xdr:nvSpPr>
      <xdr:spPr bwMode="auto">
        <a:xfrm>
          <a:off x="5962650" y="5114925"/>
          <a:ext cx="695325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</xdr:col>
      <xdr:colOff>66675</xdr:colOff>
      <xdr:row>31</xdr:row>
      <xdr:rowOff>76200</xdr:rowOff>
    </xdr:from>
    <xdr:to>
      <xdr:col>6</xdr:col>
      <xdr:colOff>266700</xdr:colOff>
      <xdr:row>31</xdr:row>
      <xdr:rowOff>76200</xdr:rowOff>
    </xdr:to>
    <xdr:sp macro="" textlink="">
      <xdr:nvSpPr>
        <xdr:cNvPr id="26" name="Line 29"/>
        <xdr:cNvSpPr>
          <a:spLocks noChangeShapeType="1"/>
        </xdr:cNvSpPr>
      </xdr:nvSpPr>
      <xdr:spPr bwMode="auto">
        <a:xfrm flipH="1">
          <a:off x="3724275" y="5095875"/>
          <a:ext cx="200025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</xdr:col>
      <xdr:colOff>333375</xdr:colOff>
      <xdr:row>33</xdr:row>
      <xdr:rowOff>9525</xdr:rowOff>
    </xdr:from>
    <xdr:to>
      <xdr:col>7</xdr:col>
      <xdr:colOff>361950</xdr:colOff>
      <xdr:row>35</xdr:row>
      <xdr:rowOff>0</xdr:rowOff>
    </xdr:to>
    <xdr:sp macro="" textlink="">
      <xdr:nvSpPr>
        <xdr:cNvPr id="27" name="Line 30"/>
        <xdr:cNvSpPr>
          <a:spLocks noChangeShapeType="1"/>
        </xdr:cNvSpPr>
      </xdr:nvSpPr>
      <xdr:spPr bwMode="auto">
        <a:xfrm flipH="1">
          <a:off x="3990975" y="5353050"/>
          <a:ext cx="638175" cy="314325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</xdr:col>
      <xdr:colOff>276225</xdr:colOff>
      <xdr:row>33</xdr:row>
      <xdr:rowOff>19050</xdr:rowOff>
    </xdr:from>
    <xdr:to>
      <xdr:col>8</xdr:col>
      <xdr:colOff>304800</xdr:colOff>
      <xdr:row>35</xdr:row>
      <xdr:rowOff>9525</xdr:rowOff>
    </xdr:to>
    <xdr:sp macro="" textlink="">
      <xdr:nvSpPr>
        <xdr:cNvPr id="28" name="Line 31"/>
        <xdr:cNvSpPr>
          <a:spLocks noChangeShapeType="1"/>
        </xdr:cNvSpPr>
      </xdr:nvSpPr>
      <xdr:spPr bwMode="auto">
        <a:xfrm flipH="1">
          <a:off x="4543425" y="5362575"/>
          <a:ext cx="638175" cy="314325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</xdr:col>
      <xdr:colOff>542925</xdr:colOff>
      <xdr:row>33</xdr:row>
      <xdr:rowOff>19050</xdr:rowOff>
    </xdr:from>
    <xdr:to>
      <xdr:col>9</xdr:col>
      <xdr:colOff>571500</xdr:colOff>
      <xdr:row>35</xdr:row>
      <xdr:rowOff>9525</xdr:rowOff>
    </xdr:to>
    <xdr:sp macro="" textlink="">
      <xdr:nvSpPr>
        <xdr:cNvPr id="29" name="Line 32"/>
        <xdr:cNvSpPr>
          <a:spLocks noChangeShapeType="1"/>
        </xdr:cNvSpPr>
      </xdr:nvSpPr>
      <xdr:spPr bwMode="auto">
        <a:xfrm flipH="1">
          <a:off x="5419725" y="5362575"/>
          <a:ext cx="638175" cy="314325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</xdr:col>
      <xdr:colOff>304800</xdr:colOff>
      <xdr:row>33</xdr:row>
      <xdr:rowOff>0</xdr:rowOff>
    </xdr:from>
    <xdr:to>
      <xdr:col>11</xdr:col>
      <xdr:colOff>333375</xdr:colOff>
      <xdr:row>34</xdr:row>
      <xdr:rowOff>161925</xdr:rowOff>
    </xdr:to>
    <xdr:sp macro="" textlink="">
      <xdr:nvSpPr>
        <xdr:cNvPr id="30" name="Line 33"/>
        <xdr:cNvSpPr>
          <a:spLocks noChangeShapeType="1"/>
        </xdr:cNvSpPr>
      </xdr:nvSpPr>
      <xdr:spPr bwMode="auto">
        <a:xfrm flipH="1">
          <a:off x="6400800" y="5343525"/>
          <a:ext cx="638175" cy="32385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</xdr:col>
      <xdr:colOff>428625</xdr:colOff>
      <xdr:row>21</xdr:row>
      <xdr:rowOff>38100</xdr:rowOff>
    </xdr:from>
    <xdr:to>
      <xdr:col>8</xdr:col>
      <xdr:colOff>104775</xdr:colOff>
      <xdr:row>22</xdr:row>
      <xdr:rowOff>152400</xdr:rowOff>
    </xdr:to>
    <xdr:sp macro="" textlink="">
      <xdr:nvSpPr>
        <xdr:cNvPr id="31" name="Line 34"/>
        <xdr:cNvSpPr>
          <a:spLocks noChangeShapeType="1"/>
        </xdr:cNvSpPr>
      </xdr:nvSpPr>
      <xdr:spPr bwMode="auto">
        <a:xfrm flipV="1">
          <a:off x="4086225" y="3438525"/>
          <a:ext cx="895350" cy="276225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600075</xdr:colOff>
      <xdr:row>14</xdr:row>
      <xdr:rowOff>142875</xdr:rowOff>
    </xdr:from>
    <xdr:to>
      <xdr:col>10</xdr:col>
      <xdr:colOff>257175</xdr:colOff>
      <xdr:row>24</xdr:row>
      <xdr:rowOff>9525</xdr:rowOff>
    </xdr:to>
    <xdr:sp macro="" textlink="">
      <xdr:nvSpPr>
        <xdr:cNvPr id="32" name="Line 36"/>
        <xdr:cNvSpPr>
          <a:spLocks noChangeShapeType="1"/>
        </xdr:cNvSpPr>
      </xdr:nvSpPr>
      <xdr:spPr bwMode="auto">
        <a:xfrm flipV="1">
          <a:off x="1819275" y="2409825"/>
          <a:ext cx="4533900" cy="148590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</xdr:col>
      <xdr:colOff>504825</xdr:colOff>
      <xdr:row>43</xdr:row>
      <xdr:rowOff>152400</xdr:rowOff>
    </xdr:from>
    <xdr:to>
      <xdr:col>7</xdr:col>
      <xdr:colOff>657225</xdr:colOff>
      <xdr:row>44</xdr:row>
      <xdr:rowOff>85725</xdr:rowOff>
    </xdr:to>
    <xdr:sp macro="" textlink="">
      <xdr:nvSpPr>
        <xdr:cNvPr id="33" name="Line 37"/>
        <xdr:cNvSpPr>
          <a:spLocks noChangeShapeType="1"/>
        </xdr:cNvSpPr>
      </xdr:nvSpPr>
      <xdr:spPr bwMode="auto">
        <a:xfrm flipH="1" flipV="1">
          <a:off x="4162425" y="7115175"/>
          <a:ext cx="714375" cy="9525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285750</xdr:colOff>
      <xdr:row>33</xdr:row>
      <xdr:rowOff>9525</xdr:rowOff>
    </xdr:from>
    <xdr:to>
      <xdr:col>6</xdr:col>
      <xdr:colOff>314325</xdr:colOff>
      <xdr:row>35</xdr:row>
      <xdr:rowOff>0</xdr:rowOff>
    </xdr:to>
    <xdr:sp macro="" textlink="">
      <xdr:nvSpPr>
        <xdr:cNvPr id="2" name="Line 1"/>
        <xdr:cNvSpPr>
          <a:spLocks noChangeShapeType="1"/>
        </xdr:cNvSpPr>
      </xdr:nvSpPr>
      <xdr:spPr bwMode="auto">
        <a:xfrm flipH="1">
          <a:off x="3333750" y="5353050"/>
          <a:ext cx="638175" cy="314325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</xdr:col>
      <xdr:colOff>285750</xdr:colOff>
      <xdr:row>42</xdr:row>
      <xdr:rowOff>95250</xdr:rowOff>
    </xdr:from>
    <xdr:to>
      <xdr:col>7</xdr:col>
      <xdr:colOff>171450</xdr:colOff>
      <xdr:row>42</xdr:row>
      <xdr:rowOff>95250</xdr:rowOff>
    </xdr:to>
    <xdr:sp macro="" textlink="">
      <xdr:nvSpPr>
        <xdr:cNvPr id="3" name="Line 6"/>
        <xdr:cNvSpPr>
          <a:spLocks noChangeShapeType="1"/>
        </xdr:cNvSpPr>
      </xdr:nvSpPr>
      <xdr:spPr bwMode="auto">
        <a:xfrm flipH="1">
          <a:off x="3943350" y="6896100"/>
          <a:ext cx="495300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</xdr:col>
      <xdr:colOff>304800</xdr:colOff>
      <xdr:row>42</xdr:row>
      <xdr:rowOff>9525</xdr:rowOff>
    </xdr:from>
    <xdr:to>
      <xdr:col>6</xdr:col>
      <xdr:colOff>304800</xdr:colOff>
      <xdr:row>42</xdr:row>
      <xdr:rowOff>95250</xdr:rowOff>
    </xdr:to>
    <xdr:sp macro="" textlink="">
      <xdr:nvSpPr>
        <xdr:cNvPr id="4" name="Line 7"/>
        <xdr:cNvSpPr>
          <a:spLocks noChangeShapeType="1"/>
        </xdr:cNvSpPr>
      </xdr:nvSpPr>
      <xdr:spPr bwMode="auto">
        <a:xfrm>
          <a:off x="3962400" y="6810375"/>
          <a:ext cx="0" cy="85725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</xdr:col>
      <xdr:colOff>161925</xdr:colOff>
      <xdr:row>42</xdr:row>
      <xdr:rowOff>38100</xdr:rowOff>
    </xdr:from>
    <xdr:to>
      <xdr:col>7</xdr:col>
      <xdr:colOff>161925</xdr:colOff>
      <xdr:row>42</xdr:row>
      <xdr:rowOff>161925</xdr:rowOff>
    </xdr:to>
    <xdr:sp macro="" textlink="">
      <xdr:nvSpPr>
        <xdr:cNvPr id="5" name="Line 8"/>
        <xdr:cNvSpPr>
          <a:spLocks noChangeShapeType="1"/>
        </xdr:cNvSpPr>
      </xdr:nvSpPr>
      <xdr:spPr bwMode="auto">
        <a:xfrm>
          <a:off x="4429125" y="6838950"/>
          <a:ext cx="0" cy="123825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</xdr:col>
      <xdr:colOff>200025</xdr:colOff>
      <xdr:row>42</xdr:row>
      <xdr:rowOff>38100</xdr:rowOff>
    </xdr:from>
    <xdr:to>
      <xdr:col>7</xdr:col>
      <xdr:colOff>200025</xdr:colOff>
      <xdr:row>42</xdr:row>
      <xdr:rowOff>161925</xdr:rowOff>
    </xdr:to>
    <xdr:sp macro="" textlink="">
      <xdr:nvSpPr>
        <xdr:cNvPr id="6" name="Line 9"/>
        <xdr:cNvSpPr>
          <a:spLocks noChangeShapeType="1"/>
        </xdr:cNvSpPr>
      </xdr:nvSpPr>
      <xdr:spPr bwMode="auto">
        <a:xfrm>
          <a:off x="4467225" y="6838950"/>
          <a:ext cx="0" cy="123825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</xdr:col>
      <xdr:colOff>95250</xdr:colOff>
      <xdr:row>42</xdr:row>
      <xdr:rowOff>47625</xdr:rowOff>
    </xdr:from>
    <xdr:to>
      <xdr:col>7</xdr:col>
      <xdr:colOff>266700</xdr:colOff>
      <xdr:row>42</xdr:row>
      <xdr:rowOff>152400</xdr:rowOff>
    </xdr:to>
    <xdr:sp macro="" textlink="">
      <xdr:nvSpPr>
        <xdr:cNvPr id="7" name="Line 10"/>
        <xdr:cNvSpPr>
          <a:spLocks noChangeShapeType="1"/>
        </xdr:cNvSpPr>
      </xdr:nvSpPr>
      <xdr:spPr bwMode="auto">
        <a:xfrm flipH="1">
          <a:off x="4362450" y="6848475"/>
          <a:ext cx="171450" cy="104775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</xdr:col>
      <xdr:colOff>209550</xdr:colOff>
      <xdr:row>42</xdr:row>
      <xdr:rowOff>95250</xdr:rowOff>
    </xdr:from>
    <xdr:to>
      <xdr:col>7</xdr:col>
      <xdr:colOff>304800</xdr:colOff>
      <xdr:row>43</xdr:row>
      <xdr:rowOff>38100</xdr:rowOff>
    </xdr:to>
    <xdr:sp macro="" textlink="">
      <xdr:nvSpPr>
        <xdr:cNvPr id="8" name="Line 11"/>
        <xdr:cNvSpPr>
          <a:spLocks noChangeShapeType="1"/>
        </xdr:cNvSpPr>
      </xdr:nvSpPr>
      <xdr:spPr bwMode="auto">
        <a:xfrm>
          <a:off x="4476750" y="6896100"/>
          <a:ext cx="95250" cy="104775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</xdr:col>
      <xdr:colOff>285750</xdr:colOff>
      <xdr:row>42</xdr:row>
      <xdr:rowOff>142875</xdr:rowOff>
    </xdr:from>
    <xdr:to>
      <xdr:col>7</xdr:col>
      <xdr:colOff>295275</xdr:colOff>
      <xdr:row>43</xdr:row>
      <xdr:rowOff>19050</xdr:rowOff>
    </xdr:to>
    <xdr:sp macro="" textlink="">
      <xdr:nvSpPr>
        <xdr:cNvPr id="9" name="Oval 12"/>
        <xdr:cNvSpPr>
          <a:spLocks noChangeArrowheads="1"/>
        </xdr:cNvSpPr>
      </xdr:nvSpPr>
      <xdr:spPr bwMode="auto">
        <a:xfrm>
          <a:off x="4552950" y="6943725"/>
          <a:ext cx="9525" cy="38100"/>
        </a:xfrm>
        <a:prstGeom prst="ellipse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</xdr:spPr>
    </xdr:sp>
    <xdr:clientData/>
  </xdr:twoCellAnchor>
  <xdr:twoCellAnchor>
    <xdr:from>
      <xdr:col>7</xdr:col>
      <xdr:colOff>257175</xdr:colOff>
      <xdr:row>42</xdr:row>
      <xdr:rowOff>123825</xdr:rowOff>
    </xdr:from>
    <xdr:to>
      <xdr:col>7</xdr:col>
      <xdr:colOff>342900</xdr:colOff>
      <xdr:row>43</xdr:row>
      <xdr:rowOff>47625</xdr:rowOff>
    </xdr:to>
    <xdr:sp macro="" textlink="">
      <xdr:nvSpPr>
        <xdr:cNvPr id="10" name="Oval 13"/>
        <xdr:cNvSpPr>
          <a:spLocks noChangeArrowheads="1"/>
        </xdr:cNvSpPr>
      </xdr:nvSpPr>
      <xdr:spPr bwMode="auto">
        <a:xfrm>
          <a:off x="4524375" y="6924675"/>
          <a:ext cx="85725" cy="85725"/>
        </a:xfrm>
        <a:prstGeom prst="ellipse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</xdr:spPr>
    </xdr:sp>
    <xdr:clientData/>
  </xdr:twoCellAnchor>
  <xdr:twoCellAnchor>
    <xdr:from>
      <xdr:col>7</xdr:col>
      <xdr:colOff>209550</xdr:colOff>
      <xdr:row>42</xdr:row>
      <xdr:rowOff>104775</xdr:rowOff>
    </xdr:from>
    <xdr:to>
      <xdr:col>7</xdr:col>
      <xdr:colOff>304800</xdr:colOff>
      <xdr:row>43</xdr:row>
      <xdr:rowOff>0</xdr:rowOff>
    </xdr:to>
    <xdr:sp macro="" textlink="">
      <xdr:nvSpPr>
        <xdr:cNvPr id="11" name="Line 14"/>
        <xdr:cNvSpPr>
          <a:spLocks noChangeShapeType="1"/>
        </xdr:cNvSpPr>
      </xdr:nvSpPr>
      <xdr:spPr bwMode="auto">
        <a:xfrm>
          <a:off x="4476750" y="6905625"/>
          <a:ext cx="95250" cy="5715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</xdr:col>
      <xdr:colOff>219075</xdr:colOff>
      <xdr:row>42</xdr:row>
      <xdr:rowOff>114300</xdr:rowOff>
    </xdr:from>
    <xdr:to>
      <xdr:col>7</xdr:col>
      <xdr:colOff>295275</xdr:colOff>
      <xdr:row>43</xdr:row>
      <xdr:rowOff>9525</xdr:rowOff>
    </xdr:to>
    <xdr:sp macro="" textlink="">
      <xdr:nvSpPr>
        <xdr:cNvPr id="12" name="Line 15"/>
        <xdr:cNvSpPr>
          <a:spLocks noChangeShapeType="1"/>
        </xdr:cNvSpPr>
      </xdr:nvSpPr>
      <xdr:spPr bwMode="auto">
        <a:xfrm flipH="1" flipV="1">
          <a:off x="4486275" y="6915150"/>
          <a:ext cx="76200" cy="5715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</xdr:col>
      <xdr:colOff>295275</xdr:colOff>
      <xdr:row>42</xdr:row>
      <xdr:rowOff>0</xdr:rowOff>
    </xdr:from>
    <xdr:to>
      <xdr:col>7</xdr:col>
      <xdr:colOff>304800</xdr:colOff>
      <xdr:row>42</xdr:row>
      <xdr:rowOff>123825</xdr:rowOff>
    </xdr:to>
    <xdr:sp macro="" textlink="">
      <xdr:nvSpPr>
        <xdr:cNvPr id="13" name="Line 16"/>
        <xdr:cNvSpPr>
          <a:spLocks noChangeShapeType="1"/>
        </xdr:cNvSpPr>
      </xdr:nvSpPr>
      <xdr:spPr bwMode="auto">
        <a:xfrm flipH="1">
          <a:off x="4562475" y="6800850"/>
          <a:ext cx="9525" cy="123825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</xdr:col>
      <xdr:colOff>295275</xdr:colOff>
      <xdr:row>43</xdr:row>
      <xdr:rowOff>57150</xdr:rowOff>
    </xdr:from>
    <xdr:to>
      <xdr:col>8</xdr:col>
      <xdr:colOff>152400</xdr:colOff>
      <xdr:row>44</xdr:row>
      <xdr:rowOff>28575</xdr:rowOff>
    </xdr:to>
    <xdr:sp macro="" textlink="">
      <xdr:nvSpPr>
        <xdr:cNvPr id="14" name="Line 17"/>
        <xdr:cNvSpPr>
          <a:spLocks noChangeShapeType="1"/>
        </xdr:cNvSpPr>
      </xdr:nvSpPr>
      <xdr:spPr bwMode="auto">
        <a:xfrm>
          <a:off x="4562475" y="7019925"/>
          <a:ext cx="466725" cy="13335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</xdr:col>
      <xdr:colOff>342900</xdr:colOff>
      <xdr:row>42</xdr:row>
      <xdr:rowOff>152400</xdr:rowOff>
    </xdr:from>
    <xdr:to>
      <xdr:col>8</xdr:col>
      <xdr:colOff>228600</xdr:colOff>
      <xdr:row>44</xdr:row>
      <xdr:rowOff>0</xdr:rowOff>
    </xdr:to>
    <xdr:sp macro="" textlink="">
      <xdr:nvSpPr>
        <xdr:cNvPr id="15" name="Line 18"/>
        <xdr:cNvSpPr>
          <a:spLocks noChangeShapeType="1"/>
        </xdr:cNvSpPr>
      </xdr:nvSpPr>
      <xdr:spPr bwMode="auto">
        <a:xfrm>
          <a:off x="4610100" y="6953250"/>
          <a:ext cx="495300" cy="17145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</xdr:col>
      <xdr:colOff>304800</xdr:colOff>
      <xdr:row>42</xdr:row>
      <xdr:rowOff>114300</xdr:rowOff>
    </xdr:from>
    <xdr:to>
      <xdr:col>7</xdr:col>
      <xdr:colOff>161925</xdr:colOff>
      <xdr:row>42</xdr:row>
      <xdr:rowOff>114300</xdr:rowOff>
    </xdr:to>
    <xdr:sp macro="" textlink="">
      <xdr:nvSpPr>
        <xdr:cNvPr id="16" name="Line 19"/>
        <xdr:cNvSpPr>
          <a:spLocks noChangeShapeType="1"/>
        </xdr:cNvSpPr>
      </xdr:nvSpPr>
      <xdr:spPr bwMode="auto">
        <a:xfrm>
          <a:off x="3962400" y="6915150"/>
          <a:ext cx="466725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</xdr:col>
      <xdr:colOff>295275</xdr:colOff>
      <xdr:row>42</xdr:row>
      <xdr:rowOff>19050</xdr:rowOff>
    </xdr:from>
    <xdr:to>
      <xdr:col>7</xdr:col>
      <xdr:colOff>295275</xdr:colOff>
      <xdr:row>42</xdr:row>
      <xdr:rowOff>114300</xdr:rowOff>
    </xdr:to>
    <xdr:sp macro="" textlink="">
      <xdr:nvSpPr>
        <xdr:cNvPr id="17" name="Line 20"/>
        <xdr:cNvSpPr>
          <a:spLocks noChangeShapeType="1"/>
        </xdr:cNvSpPr>
      </xdr:nvSpPr>
      <xdr:spPr bwMode="auto">
        <a:xfrm>
          <a:off x="4562475" y="6819900"/>
          <a:ext cx="0" cy="9525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</xdr:col>
      <xdr:colOff>266700</xdr:colOff>
      <xdr:row>41</xdr:row>
      <xdr:rowOff>104775</xdr:rowOff>
    </xdr:from>
    <xdr:to>
      <xdr:col>7</xdr:col>
      <xdr:colOff>361950</xdr:colOff>
      <xdr:row>42</xdr:row>
      <xdr:rowOff>47625</xdr:rowOff>
    </xdr:to>
    <xdr:sp macro="" textlink="">
      <xdr:nvSpPr>
        <xdr:cNvPr id="18" name="Oval 21"/>
        <xdr:cNvSpPr>
          <a:spLocks noChangeArrowheads="1"/>
        </xdr:cNvSpPr>
      </xdr:nvSpPr>
      <xdr:spPr bwMode="auto">
        <a:xfrm>
          <a:off x="4533900" y="6743700"/>
          <a:ext cx="95250" cy="104775"/>
        </a:xfrm>
        <a:prstGeom prst="ellipse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</xdr:spPr>
    </xdr:sp>
    <xdr:clientData/>
  </xdr:twoCellAnchor>
  <xdr:twoCellAnchor>
    <xdr:from>
      <xdr:col>6</xdr:col>
      <xdr:colOff>295275</xdr:colOff>
      <xdr:row>42</xdr:row>
      <xdr:rowOff>0</xdr:rowOff>
    </xdr:from>
    <xdr:to>
      <xdr:col>6</xdr:col>
      <xdr:colOff>295275</xdr:colOff>
      <xdr:row>42</xdr:row>
      <xdr:rowOff>104775</xdr:rowOff>
    </xdr:to>
    <xdr:sp macro="" textlink="">
      <xdr:nvSpPr>
        <xdr:cNvPr id="19" name="Line 22"/>
        <xdr:cNvSpPr>
          <a:spLocks noChangeShapeType="1"/>
        </xdr:cNvSpPr>
      </xdr:nvSpPr>
      <xdr:spPr bwMode="auto">
        <a:xfrm>
          <a:off x="3952875" y="6800850"/>
          <a:ext cx="0" cy="104775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</xdr:col>
      <xdr:colOff>295275</xdr:colOff>
      <xdr:row>42</xdr:row>
      <xdr:rowOff>104775</xdr:rowOff>
    </xdr:from>
    <xdr:to>
      <xdr:col>7</xdr:col>
      <xdr:colOff>161925</xdr:colOff>
      <xdr:row>42</xdr:row>
      <xdr:rowOff>104775</xdr:rowOff>
    </xdr:to>
    <xdr:sp macro="" textlink="">
      <xdr:nvSpPr>
        <xdr:cNvPr id="20" name="Line 23"/>
        <xdr:cNvSpPr>
          <a:spLocks noChangeShapeType="1"/>
        </xdr:cNvSpPr>
      </xdr:nvSpPr>
      <xdr:spPr bwMode="auto">
        <a:xfrm>
          <a:off x="3952875" y="6905625"/>
          <a:ext cx="476250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</xdr:col>
      <xdr:colOff>276225</xdr:colOff>
      <xdr:row>42</xdr:row>
      <xdr:rowOff>57150</xdr:rowOff>
    </xdr:from>
    <xdr:to>
      <xdr:col>6</xdr:col>
      <xdr:colOff>371475</xdr:colOff>
      <xdr:row>43</xdr:row>
      <xdr:rowOff>85725</xdr:rowOff>
    </xdr:to>
    <xdr:sp macro="" textlink="">
      <xdr:nvSpPr>
        <xdr:cNvPr id="21" name="Line 24"/>
        <xdr:cNvSpPr>
          <a:spLocks noChangeShapeType="1"/>
        </xdr:cNvSpPr>
      </xdr:nvSpPr>
      <xdr:spPr bwMode="auto">
        <a:xfrm flipH="1">
          <a:off x="3933825" y="6858000"/>
          <a:ext cx="95250" cy="19050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</xdr:col>
      <xdr:colOff>371475</xdr:colOff>
      <xdr:row>42</xdr:row>
      <xdr:rowOff>161925</xdr:rowOff>
    </xdr:from>
    <xdr:to>
      <xdr:col>6</xdr:col>
      <xdr:colOff>504825</xdr:colOff>
      <xdr:row>44</xdr:row>
      <xdr:rowOff>104775</xdr:rowOff>
    </xdr:to>
    <xdr:sp macro="" textlink="">
      <xdr:nvSpPr>
        <xdr:cNvPr id="22" name="Line 25"/>
        <xdr:cNvSpPr>
          <a:spLocks noChangeShapeType="1"/>
        </xdr:cNvSpPr>
      </xdr:nvSpPr>
      <xdr:spPr bwMode="auto">
        <a:xfrm flipH="1">
          <a:off x="4029075" y="6962775"/>
          <a:ext cx="133350" cy="26670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</xdr:col>
      <xdr:colOff>552450</xdr:colOff>
      <xdr:row>43</xdr:row>
      <xdr:rowOff>28575</xdr:rowOff>
    </xdr:from>
    <xdr:to>
      <xdr:col>7</xdr:col>
      <xdr:colOff>161925</xdr:colOff>
      <xdr:row>45</xdr:row>
      <xdr:rowOff>9525</xdr:rowOff>
    </xdr:to>
    <xdr:sp macro="" textlink="">
      <xdr:nvSpPr>
        <xdr:cNvPr id="23" name="Line 26"/>
        <xdr:cNvSpPr>
          <a:spLocks noChangeShapeType="1"/>
        </xdr:cNvSpPr>
      </xdr:nvSpPr>
      <xdr:spPr bwMode="auto">
        <a:xfrm flipV="1">
          <a:off x="4210050" y="6991350"/>
          <a:ext cx="219075" cy="30480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</xdr:col>
      <xdr:colOff>266700</xdr:colOff>
      <xdr:row>42</xdr:row>
      <xdr:rowOff>76200</xdr:rowOff>
    </xdr:from>
    <xdr:to>
      <xdr:col>6</xdr:col>
      <xdr:colOff>190500</xdr:colOff>
      <xdr:row>42</xdr:row>
      <xdr:rowOff>85725</xdr:rowOff>
    </xdr:to>
    <xdr:sp macro="" textlink="">
      <xdr:nvSpPr>
        <xdr:cNvPr id="24" name="Line 27"/>
        <xdr:cNvSpPr>
          <a:spLocks noChangeShapeType="1"/>
        </xdr:cNvSpPr>
      </xdr:nvSpPr>
      <xdr:spPr bwMode="auto">
        <a:xfrm flipV="1">
          <a:off x="3314700" y="6877050"/>
          <a:ext cx="533400" cy="9525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</xdr:col>
      <xdr:colOff>476250</xdr:colOff>
      <xdr:row>31</xdr:row>
      <xdr:rowOff>95250</xdr:rowOff>
    </xdr:from>
    <xdr:to>
      <xdr:col>10</xdr:col>
      <xdr:colOff>561975</xdr:colOff>
      <xdr:row>31</xdr:row>
      <xdr:rowOff>95250</xdr:rowOff>
    </xdr:to>
    <xdr:sp macro="" textlink="">
      <xdr:nvSpPr>
        <xdr:cNvPr id="25" name="Line 28"/>
        <xdr:cNvSpPr>
          <a:spLocks noChangeShapeType="1"/>
        </xdr:cNvSpPr>
      </xdr:nvSpPr>
      <xdr:spPr bwMode="auto">
        <a:xfrm>
          <a:off x="5962650" y="5114925"/>
          <a:ext cx="695325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</xdr:col>
      <xdr:colOff>66675</xdr:colOff>
      <xdr:row>31</xdr:row>
      <xdr:rowOff>76200</xdr:rowOff>
    </xdr:from>
    <xdr:to>
      <xdr:col>6</xdr:col>
      <xdr:colOff>266700</xdr:colOff>
      <xdr:row>31</xdr:row>
      <xdr:rowOff>76200</xdr:rowOff>
    </xdr:to>
    <xdr:sp macro="" textlink="">
      <xdr:nvSpPr>
        <xdr:cNvPr id="26" name="Line 29"/>
        <xdr:cNvSpPr>
          <a:spLocks noChangeShapeType="1"/>
        </xdr:cNvSpPr>
      </xdr:nvSpPr>
      <xdr:spPr bwMode="auto">
        <a:xfrm flipH="1">
          <a:off x="3724275" y="5095875"/>
          <a:ext cx="200025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</xdr:col>
      <xdr:colOff>333375</xdr:colOff>
      <xdr:row>33</xdr:row>
      <xdr:rowOff>9525</xdr:rowOff>
    </xdr:from>
    <xdr:to>
      <xdr:col>7</xdr:col>
      <xdr:colOff>361950</xdr:colOff>
      <xdr:row>35</xdr:row>
      <xdr:rowOff>0</xdr:rowOff>
    </xdr:to>
    <xdr:sp macro="" textlink="">
      <xdr:nvSpPr>
        <xdr:cNvPr id="27" name="Line 30"/>
        <xdr:cNvSpPr>
          <a:spLocks noChangeShapeType="1"/>
        </xdr:cNvSpPr>
      </xdr:nvSpPr>
      <xdr:spPr bwMode="auto">
        <a:xfrm flipH="1">
          <a:off x="3990975" y="5353050"/>
          <a:ext cx="638175" cy="314325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</xdr:col>
      <xdr:colOff>276225</xdr:colOff>
      <xdr:row>33</xdr:row>
      <xdr:rowOff>19050</xdr:rowOff>
    </xdr:from>
    <xdr:to>
      <xdr:col>8</xdr:col>
      <xdr:colOff>304800</xdr:colOff>
      <xdr:row>35</xdr:row>
      <xdr:rowOff>9525</xdr:rowOff>
    </xdr:to>
    <xdr:sp macro="" textlink="">
      <xdr:nvSpPr>
        <xdr:cNvPr id="28" name="Line 31"/>
        <xdr:cNvSpPr>
          <a:spLocks noChangeShapeType="1"/>
        </xdr:cNvSpPr>
      </xdr:nvSpPr>
      <xdr:spPr bwMode="auto">
        <a:xfrm flipH="1">
          <a:off x="4543425" y="5362575"/>
          <a:ext cx="638175" cy="314325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</xdr:col>
      <xdr:colOff>542925</xdr:colOff>
      <xdr:row>33</xdr:row>
      <xdr:rowOff>19050</xdr:rowOff>
    </xdr:from>
    <xdr:to>
      <xdr:col>9</xdr:col>
      <xdr:colOff>571500</xdr:colOff>
      <xdr:row>35</xdr:row>
      <xdr:rowOff>9525</xdr:rowOff>
    </xdr:to>
    <xdr:sp macro="" textlink="">
      <xdr:nvSpPr>
        <xdr:cNvPr id="29" name="Line 32"/>
        <xdr:cNvSpPr>
          <a:spLocks noChangeShapeType="1"/>
        </xdr:cNvSpPr>
      </xdr:nvSpPr>
      <xdr:spPr bwMode="auto">
        <a:xfrm flipH="1">
          <a:off x="5419725" y="5362575"/>
          <a:ext cx="638175" cy="314325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</xdr:col>
      <xdr:colOff>304800</xdr:colOff>
      <xdr:row>33</xdr:row>
      <xdr:rowOff>0</xdr:rowOff>
    </xdr:from>
    <xdr:to>
      <xdr:col>11</xdr:col>
      <xdr:colOff>333375</xdr:colOff>
      <xdr:row>34</xdr:row>
      <xdr:rowOff>161925</xdr:rowOff>
    </xdr:to>
    <xdr:sp macro="" textlink="">
      <xdr:nvSpPr>
        <xdr:cNvPr id="30" name="Line 33"/>
        <xdr:cNvSpPr>
          <a:spLocks noChangeShapeType="1"/>
        </xdr:cNvSpPr>
      </xdr:nvSpPr>
      <xdr:spPr bwMode="auto">
        <a:xfrm flipH="1">
          <a:off x="6400800" y="5343525"/>
          <a:ext cx="638175" cy="32385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</xdr:col>
      <xdr:colOff>428625</xdr:colOff>
      <xdr:row>21</xdr:row>
      <xdr:rowOff>38100</xdr:rowOff>
    </xdr:from>
    <xdr:to>
      <xdr:col>8</xdr:col>
      <xdr:colOff>104775</xdr:colOff>
      <xdr:row>22</xdr:row>
      <xdr:rowOff>152400</xdr:rowOff>
    </xdr:to>
    <xdr:sp macro="" textlink="">
      <xdr:nvSpPr>
        <xdr:cNvPr id="31" name="Line 34"/>
        <xdr:cNvSpPr>
          <a:spLocks noChangeShapeType="1"/>
        </xdr:cNvSpPr>
      </xdr:nvSpPr>
      <xdr:spPr bwMode="auto">
        <a:xfrm flipV="1">
          <a:off x="4086225" y="3438525"/>
          <a:ext cx="895350" cy="276225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600075</xdr:colOff>
      <xdr:row>14</xdr:row>
      <xdr:rowOff>142875</xdr:rowOff>
    </xdr:from>
    <xdr:to>
      <xdr:col>10</xdr:col>
      <xdr:colOff>257175</xdr:colOff>
      <xdr:row>24</xdr:row>
      <xdr:rowOff>9525</xdr:rowOff>
    </xdr:to>
    <xdr:sp macro="" textlink="">
      <xdr:nvSpPr>
        <xdr:cNvPr id="32" name="Line 36"/>
        <xdr:cNvSpPr>
          <a:spLocks noChangeShapeType="1"/>
        </xdr:cNvSpPr>
      </xdr:nvSpPr>
      <xdr:spPr bwMode="auto">
        <a:xfrm flipV="1">
          <a:off x="1819275" y="2409825"/>
          <a:ext cx="4533900" cy="148590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</xdr:col>
      <xdr:colOff>485775</xdr:colOff>
      <xdr:row>44</xdr:row>
      <xdr:rowOff>9525</xdr:rowOff>
    </xdr:from>
    <xdr:to>
      <xdr:col>7</xdr:col>
      <xdr:colOff>666750</xdr:colOff>
      <xdr:row>44</xdr:row>
      <xdr:rowOff>95250</xdr:rowOff>
    </xdr:to>
    <xdr:sp macro="" textlink="">
      <xdr:nvSpPr>
        <xdr:cNvPr id="33" name="Line 37"/>
        <xdr:cNvSpPr>
          <a:spLocks noChangeShapeType="1"/>
        </xdr:cNvSpPr>
      </xdr:nvSpPr>
      <xdr:spPr bwMode="auto">
        <a:xfrm flipH="1" flipV="1">
          <a:off x="4143375" y="7134225"/>
          <a:ext cx="733425" cy="85725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285750</xdr:colOff>
      <xdr:row>33</xdr:row>
      <xdr:rowOff>9525</xdr:rowOff>
    </xdr:from>
    <xdr:to>
      <xdr:col>6</xdr:col>
      <xdr:colOff>314325</xdr:colOff>
      <xdr:row>35</xdr:row>
      <xdr:rowOff>0</xdr:rowOff>
    </xdr:to>
    <xdr:sp macro="" textlink="">
      <xdr:nvSpPr>
        <xdr:cNvPr id="2" name="Line 1"/>
        <xdr:cNvSpPr>
          <a:spLocks noChangeShapeType="1"/>
        </xdr:cNvSpPr>
      </xdr:nvSpPr>
      <xdr:spPr bwMode="auto">
        <a:xfrm flipH="1">
          <a:off x="3333750" y="5353050"/>
          <a:ext cx="638175" cy="314325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</xdr:col>
      <xdr:colOff>285750</xdr:colOff>
      <xdr:row>42</xdr:row>
      <xdr:rowOff>95250</xdr:rowOff>
    </xdr:from>
    <xdr:to>
      <xdr:col>7</xdr:col>
      <xdr:colOff>171450</xdr:colOff>
      <xdr:row>42</xdr:row>
      <xdr:rowOff>95250</xdr:rowOff>
    </xdr:to>
    <xdr:sp macro="" textlink="">
      <xdr:nvSpPr>
        <xdr:cNvPr id="3" name="Line 6"/>
        <xdr:cNvSpPr>
          <a:spLocks noChangeShapeType="1"/>
        </xdr:cNvSpPr>
      </xdr:nvSpPr>
      <xdr:spPr bwMode="auto">
        <a:xfrm flipH="1">
          <a:off x="3943350" y="6896100"/>
          <a:ext cx="495300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</xdr:col>
      <xdr:colOff>304800</xdr:colOff>
      <xdr:row>42</xdr:row>
      <xdr:rowOff>9525</xdr:rowOff>
    </xdr:from>
    <xdr:to>
      <xdr:col>6</xdr:col>
      <xdr:colOff>304800</xdr:colOff>
      <xdr:row>42</xdr:row>
      <xdr:rowOff>95250</xdr:rowOff>
    </xdr:to>
    <xdr:sp macro="" textlink="">
      <xdr:nvSpPr>
        <xdr:cNvPr id="4" name="Line 7"/>
        <xdr:cNvSpPr>
          <a:spLocks noChangeShapeType="1"/>
        </xdr:cNvSpPr>
      </xdr:nvSpPr>
      <xdr:spPr bwMode="auto">
        <a:xfrm>
          <a:off x="3962400" y="6810375"/>
          <a:ext cx="0" cy="85725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</xdr:col>
      <xdr:colOff>161925</xdr:colOff>
      <xdr:row>42</xdr:row>
      <xdr:rowOff>38100</xdr:rowOff>
    </xdr:from>
    <xdr:to>
      <xdr:col>7</xdr:col>
      <xdr:colOff>161925</xdr:colOff>
      <xdr:row>42</xdr:row>
      <xdr:rowOff>161925</xdr:rowOff>
    </xdr:to>
    <xdr:sp macro="" textlink="">
      <xdr:nvSpPr>
        <xdr:cNvPr id="5" name="Line 8"/>
        <xdr:cNvSpPr>
          <a:spLocks noChangeShapeType="1"/>
        </xdr:cNvSpPr>
      </xdr:nvSpPr>
      <xdr:spPr bwMode="auto">
        <a:xfrm>
          <a:off x="4429125" y="6838950"/>
          <a:ext cx="0" cy="123825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</xdr:col>
      <xdr:colOff>200025</xdr:colOff>
      <xdr:row>42</xdr:row>
      <xdr:rowOff>38100</xdr:rowOff>
    </xdr:from>
    <xdr:to>
      <xdr:col>7</xdr:col>
      <xdr:colOff>200025</xdr:colOff>
      <xdr:row>42</xdr:row>
      <xdr:rowOff>161925</xdr:rowOff>
    </xdr:to>
    <xdr:sp macro="" textlink="">
      <xdr:nvSpPr>
        <xdr:cNvPr id="6" name="Line 9"/>
        <xdr:cNvSpPr>
          <a:spLocks noChangeShapeType="1"/>
        </xdr:cNvSpPr>
      </xdr:nvSpPr>
      <xdr:spPr bwMode="auto">
        <a:xfrm>
          <a:off x="4467225" y="6838950"/>
          <a:ext cx="0" cy="123825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</xdr:col>
      <xdr:colOff>95250</xdr:colOff>
      <xdr:row>42</xdr:row>
      <xdr:rowOff>47625</xdr:rowOff>
    </xdr:from>
    <xdr:to>
      <xdr:col>7</xdr:col>
      <xdr:colOff>266700</xdr:colOff>
      <xdr:row>42</xdr:row>
      <xdr:rowOff>152400</xdr:rowOff>
    </xdr:to>
    <xdr:sp macro="" textlink="">
      <xdr:nvSpPr>
        <xdr:cNvPr id="7" name="Line 10"/>
        <xdr:cNvSpPr>
          <a:spLocks noChangeShapeType="1"/>
        </xdr:cNvSpPr>
      </xdr:nvSpPr>
      <xdr:spPr bwMode="auto">
        <a:xfrm flipH="1">
          <a:off x="4362450" y="6848475"/>
          <a:ext cx="171450" cy="104775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</xdr:col>
      <xdr:colOff>209550</xdr:colOff>
      <xdr:row>42</xdr:row>
      <xdr:rowOff>95250</xdr:rowOff>
    </xdr:from>
    <xdr:to>
      <xdr:col>7</xdr:col>
      <xdr:colOff>304800</xdr:colOff>
      <xdr:row>43</xdr:row>
      <xdr:rowOff>38100</xdr:rowOff>
    </xdr:to>
    <xdr:sp macro="" textlink="">
      <xdr:nvSpPr>
        <xdr:cNvPr id="8" name="Line 11"/>
        <xdr:cNvSpPr>
          <a:spLocks noChangeShapeType="1"/>
        </xdr:cNvSpPr>
      </xdr:nvSpPr>
      <xdr:spPr bwMode="auto">
        <a:xfrm>
          <a:off x="4476750" y="6896100"/>
          <a:ext cx="95250" cy="104775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</xdr:col>
      <xdr:colOff>285750</xdr:colOff>
      <xdr:row>42</xdr:row>
      <xdr:rowOff>142875</xdr:rowOff>
    </xdr:from>
    <xdr:to>
      <xdr:col>7</xdr:col>
      <xdr:colOff>295275</xdr:colOff>
      <xdr:row>43</xdr:row>
      <xdr:rowOff>19050</xdr:rowOff>
    </xdr:to>
    <xdr:sp macro="" textlink="">
      <xdr:nvSpPr>
        <xdr:cNvPr id="9" name="Oval 12"/>
        <xdr:cNvSpPr>
          <a:spLocks noChangeArrowheads="1"/>
        </xdr:cNvSpPr>
      </xdr:nvSpPr>
      <xdr:spPr bwMode="auto">
        <a:xfrm>
          <a:off x="4552950" y="6943725"/>
          <a:ext cx="9525" cy="38100"/>
        </a:xfrm>
        <a:prstGeom prst="ellipse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</xdr:spPr>
    </xdr:sp>
    <xdr:clientData/>
  </xdr:twoCellAnchor>
  <xdr:twoCellAnchor>
    <xdr:from>
      <xdr:col>7</xdr:col>
      <xdr:colOff>257175</xdr:colOff>
      <xdr:row>42</xdr:row>
      <xdr:rowOff>123825</xdr:rowOff>
    </xdr:from>
    <xdr:to>
      <xdr:col>7</xdr:col>
      <xdr:colOff>342900</xdr:colOff>
      <xdr:row>43</xdr:row>
      <xdr:rowOff>47625</xdr:rowOff>
    </xdr:to>
    <xdr:sp macro="" textlink="">
      <xdr:nvSpPr>
        <xdr:cNvPr id="10" name="Oval 13"/>
        <xdr:cNvSpPr>
          <a:spLocks noChangeArrowheads="1"/>
        </xdr:cNvSpPr>
      </xdr:nvSpPr>
      <xdr:spPr bwMode="auto">
        <a:xfrm>
          <a:off x="4524375" y="6924675"/>
          <a:ext cx="85725" cy="85725"/>
        </a:xfrm>
        <a:prstGeom prst="ellipse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</xdr:spPr>
    </xdr:sp>
    <xdr:clientData/>
  </xdr:twoCellAnchor>
  <xdr:twoCellAnchor>
    <xdr:from>
      <xdr:col>7</xdr:col>
      <xdr:colOff>209550</xdr:colOff>
      <xdr:row>42</xdr:row>
      <xdr:rowOff>104775</xdr:rowOff>
    </xdr:from>
    <xdr:to>
      <xdr:col>7</xdr:col>
      <xdr:colOff>304800</xdr:colOff>
      <xdr:row>43</xdr:row>
      <xdr:rowOff>0</xdr:rowOff>
    </xdr:to>
    <xdr:sp macro="" textlink="">
      <xdr:nvSpPr>
        <xdr:cNvPr id="11" name="Line 14"/>
        <xdr:cNvSpPr>
          <a:spLocks noChangeShapeType="1"/>
        </xdr:cNvSpPr>
      </xdr:nvSpPr>
      <xdr:spPr bwMode="auto">
        <a:xfrm>
          <a:off x="4476750" y="6905625"/>
          <a:ext cx="95250" cy="5715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</xdr:col>
      <xdr:colOff>219075</xdr:colOff>
      <xdr:row>42</xdr:row>
      <xdr:rowOff>114300</xdr:rowOff>
    </xdr:from>
    <xdr:to>
      <xdr:col>7</xdr:col>
      <xdr:colOff>295275</xdr:colOff>
      <xdr:row>43</xdr:row>
      <xdr:rowOff>9525</xdr:rowOff>
    </xdr:to>
    <xdr:sp macro="" textlink="">
      <xdr:nvSpPr>
        <xdr:cNvPr id="12" name="Line 15"/>
        <xdr:cNvSpPr>
          <a:spLocks noChangeShapeType="1"/>
        </xdr:cNvSpPr>
      </xdr:nvSpPr>
      <xdr:spPr bwMode="auto">
        <a:xfrm flipH="1" flipV="1">
          <a:off x="4486275" y="6915150"/>
          <a:ext cx="76200" cy="5715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</xdr:col>
      <xdr:colOff>295275</xdr:colOff>
      <xdr:row>42</xdr:row>
      <xdr:rowOff>0</xdr:rowOff>
    </xdr:from>
    <xdr:to>
      <xdr:col>7</xdr:col>
      <xdr:colOff>304800</xdr:colOff>
      <xdr:row>42</xdr:row>
      <xdr:rowOff>123825</xdr:rowOff>
    </xdr:to>
    <xdr:sp macro="" textlink="">
      <xdr:nvSpPr>
        <xdr:cNvPr id="13" name="Line 16"/>
        <xdr:cNvSpPr>
          <a:spLocks noChangeShapeType="1"/>
        </xdr:cNvSpPr>
      </xdr:nvSpPr>
      <xdr:spPr bwMode="auto">
        <a:xfrm flipH="1">
          <a:off x="4562475" y="6800850"/>
          <a:ext cx="9525" cy="123825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</xdr:col>
      <xdr:colOff>295275</xdr:colOff>
      <xdr:row>43</xdr:row>
      <xdr:rowOff>57150</xdr:rowOff>
    </xdr:from>
    <xdr:to>
      <xdr:col>8</xdr:col>
      <xdr:colOff>152400</xdr:colOff>
      <xdr:row>44</xdr:row>
      <xdr:rowOff>28575</xdr:rowOff>
    </xdr:to>
    <xdr:sp macro="" textlink="">
      <xdr:nvSpPr>
        <xdr:cNvPr id="14" name="Line 17"/>
        <xdr:cNvSpPr>
          <a:spLocks noChangeShapeType="1"/>
        </xdr:cNvSpPr>
      </xdr:nvSpPr>
      <xdr:spPr bwMode="auto">
        <a:xfrm>
          <a:off x="4562475" y="7019925"/>
          <a:ext cx="466725" cy="13335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</xdr:col>
      <xdr:colOff>342900</xdr:colOff>
      <xdr:row>42</xdr:row>
      <xdr:rowOff>152400</xdr:rowOff>
    </xdr:from>
    <xdr:to>
      <xdr:col>8</xdr:col>
      <xdr:colOff>228600</xdr:colOff>
      <xdr:row>44</xdr:row>
      <xdr:rowOff>0</xdr:rowOff>
    </xdr:to>
    <xdr:sp macro="" textlink="">
      <xdr:nvSpPr>
        <xdr:cNvPr id="15" name="Line 18"/>
        <xdr:cNvSpPr>
          <a:spLocks noChangeShapeType="1"/>
        </xdr:cNvSpPr>
      </xdr:nvSpPr>
      <xdr:spPr bwMode="auto">
        <a:xfrm>
          <a:off x="4610100" y="6953250"/>
          <a:ext cx="495300" cy="17145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</xdr:col>
      <xdr:colOff>304800</xdr:colOff>
      <xdr:row>42</xdr:row>
      <xdr:rowOff>114300</xdr:rowOff>
    </xdr:from>
    <xdr:to>
      <xdr:col>7</xdr:col>
      <xdr:colOff>161925</xdr:colOff>
      <xdr:row>42</xdr:row>
      <xdr:rowOff>114300</xdr:rowOff>
    </xdr:to>
    <xdr:sp macro="" textlink="">
      <xdr:nvSpPr>
        <xdr:cNvPr id="16" name="Line 19"/>
        <xdr:cNvSpPr>
          <a:spLocks noChangeShapeType="1"/>
        </xdr:cNvSpPr>
      </xdr:nvSpPr>
      <xdr:spPr bwMode="auto">
        <a:xfrm>
          <a:off x="3962400" y="6915150"/>
          <a:ext cx="466725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</xdr:col>
      <xdr:colOff>295275</xdr:colOff>
      <xdr:row>42</xdr:row>
      <xdr:rowOff>19050</xdr:rowOff>
    </xdr:from>
    <xdr:to>
      <xdr:col>7</xdr:col>
      <xdr:colOff>295275</xdr:colOff>
      <xdr:row>42</xdr:row>
      <xdr:rowOff>114300</xdr:rowOff>
    </xdr:to>
    <xdr:sp macro="" textlink="">
      <xdr:nvSpPr>
        <xdr:cNvPr id="17" name="Line 20"/>
        <xdr:cNvSpPr>
          <a:spLocks noChangeShapeType="1"/>
        </xdr:cNvSpPr>
      </xdr:nvSpPr>
      <xdr:spPr bwMode="auto">
        <a:xfrm>
          <a:off x="4562475" y="6819900"/>
          <a:ext cx="0" cy="9525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</xdr:col>
      <xdr:colOff>266700</xdr:colOff>
      <xdr:row>41</xdr:row>
      <xdr:rowOff>104775</xdr:rowOff>
    </xdr:from>
    <xdr:to>
      <xdr:col>7</xdr:col>
      <xdr:colOff>361950</xdr:colOff>
      <xdr:row>42</xdr:row>
      <xdr:rowOff>47625</xdr:rowOff>
    </xdr:to>
    <xdr:sp macro="" textlink="">
      <xdr:nvSpPr>
        <xdr:cNvPr id="18" name="Oval 21"/>
        <xdr:cNvSpPr>
          <a:spLocks noChangeArrowheads="1"/>
        </xdr:cNvSpPr>
      </xdr:nvSpPr>
      <xdr:spPr bwMode="auto">
        <a:xfrm>
          <a:off x="4533900" y="6743700"/>
          <a:ext cx="95250" cy="104775"/>
        </a:xfrm>
        <a:prstGeom prst="ellipse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</xdr:spPr>
    </xdr:sp>
    <xdr:clientData/>
  </xdr:twoCellAnchor>
  <xdr:twoCellAnchor>
    <xdr:from>
      <xdr:col>6</xdr:col>
      <xdr:colOff>295275</xdr:colOff>
      <xdr:row>42</xdr:row>
      <xdr:rowOff>0</xdr:rowOff>
    </xdr:from>
    <xdr:to>
      <xdr:col>6</xdr:col>
      <xdr:colOff>295275</xdr:colOff>
      <xdr:row>42</xdr:row>
      <xdr:rowOff>104775</xdr:rowOff>
    </xdr:to>
    <xdr:sp macro="" textlink="">
      <xdr:nvSpPr>
        <xdr:cNvPr id="19" name="Line 22"/>
        <xdr:cNvSpPr>
          <a:spLocks noChangeShapeType="1"/>
        </xdr:cNvSpPr>
      </xdr:nvSpPr>
      <xdr:spPr bwMode="auto">
        <a:xfrm>
          <a:off x="3952875" y="6800850"/>
          <a:ext cx="0" cy="104775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</xdr:col>
      <xdr:colOff>295275</xdr:colOff>
      <xdr:row>42</xdr:row>
      <xdr:rowOff>104775</xdr:rowOff>
    </xdr:from>
    <xdr:to>
      <xdr:col>7</xdr:col>
      <xdr:colOff>161925</xdr:colOff>
      <xdr:row>42</xdr:row>
      <xdr:rowOff>104775</xdr:rowOff>
    </xdr:to>
    <xdr:sp macro="" textlink="">
      <xdr:nvSpPr>
        <xdr:cNvPr id="20" name="Line 23"/>
        <xdr:cNvSpPr>
          <a:spLocks noChangeShapeType="1"/>
        </xdr:cNvSpPr>
      </xdr:nvSpPr>
      <xdr:spPr bwMode="auto">
        <a:xfrm>
          <a:off x="3952875" y="6905625"/>
          <a:ext cx="476250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</xdr:col>
      <xdr:colOff>276225</xdr:colOff>
      <xdr:row>42</xdr:row>
      <xdr:rowOff>57150</xdr:rowOff>
    </xdr:from>
    <xdr:to>
      <xdr:col>6</xdr:col>
      <xdr:colOff>371475</xdr:colOff>
      <xdr:row>43</xdr:row>
      <xdr:rowOff>85725</xdr:rowOff>
    </xdr:to>
    <xdr:sp macro="" textlink="">
      <xdr:nvSpPr>
        <xdr:cNvPr id="21" name="Line 24"/>
        <xdr:cNvSpPr>
          <a:spLocks noChangeShapeType="1"/>
        </xdr:cNvSpPr>
      </xdr:nvSpPr>
      <xdr:spPr bwMode="auto">
        <a:xfrm flipH="1">
          <a:off x="3933825" y="6858000"/>
          <a:ext cx="95250" cy="19050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</xdr:col>
      <xdr:colOff>371475</xdr:colOff>
      <xdr:row>42</xdr:row>
      <xdr:rowOff>161925</xdr:rowOff>
    </xdr:from>
    <xdr:to>
      <xdr:col>6</xdr:col>
      <xdr:colOff>504825</xdr:colOff>
      <xdr:row>44</xdr:row>
      <xdr:rowOff>104775</xdr:rowOff>
    </xdr:to>
    <xdr:sp macro="" textlink="">
      <xdr:nvSpPr>
        <xdr:cNvPr id="22" name="Line 25"/>
        <xdr:cNvSpPr>
          <a:spLocks noChangeShapeType="1"/>
        </xdr:cNvSpPr>
      </xdr:nvSpPr>
      <xdr:spPr bwMode="auto">
        <a:xfrm flipH="1">
          <a:off x="4029075" y="6962775"/>
          <a:ext cx="133350" cy="26670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</xdr:col>
      <xdr:colOff>552450</xdr:colOff>
      <xdr:row>43</xdr:row>
      <xdr:rowOff>28575</xdr:rowOff>
    </xdr:from>
    <xdr:to>
      <xdr:col>7</xdr:col>
      <xdr:colOff>161925</xdr:colOff>
      <xdr:row>45</xdr:row>
      <xdr:rowOff>9525</xdr:rowOff>
    </xdr:to>
    <xdr:sp macro="" textlink="">
      <xdr:nvSpPr>
        <xdr:cNvPr id="23" name="Line 26"/>
        <xdr:cNvSpPr>
          <a:spLocks noChangeShapeType="1"/>
        </xdr:cNvSpPr>
      </xdr:nvSpPr>
      <xdr:spPr bwMode="auto">
        <a:xfrm flipV="1">
          <a:off x="4210050" y="6991350"/>
          <a:ext cx="219075" cy="30480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</xdr:col>
      <xdr:colOff>266700</xdr:colOff>
      <xdr:row>42</xdr:row>
      <xdr:rowOff>76200</xdr:rowOff>
    </xdr:from>
    <xdr:to>
      <xdr:col>6</xdr:col>
      <xdr:colOff>190500</xdr:colOff>
      <xdr:row>42</xdr:row>
      <xdr:rowOff>85725</xdr:rowOff>
    </xdr:to>
    <xdr:sp macro="" textlink="">
      <xdr:nvSpPr>
        <xdr:cNvPr id="24" name="Line 27"/>
        <xdr:cNvSpPr>
          <a:spLocks noChangeShapeType="1"/>
        </xdr:cNvSpPr>
      </xdr:nvSpPr>
      <xdr:spPr bwMode="auto">
        <a:xfrm flipV="1">
          <a:off x="3314700" y="6877050"/>
          <a:ext cx="533400" cy="9525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</xdr:col>
      <xdr:colOff>476250</xdr:colOff>
      <xdr:row>31</xdr:row>
      <xdr:rowOff>95250</xdr:rowOff>
    </xdr:from>
    <xdr:to>
      <xdr:col>10</xdr:col>
      <xdr:colOff>561975</xdr:colOff>
      <xdr:row>31</xdr:row>
      <xdr:rowOff>95250</xdr:rowOff>
    </xdr:to>
    <xdr:sp macro="" textlink="">
      <xdr:nvSpPr>
        <xdr:cNvPr id="25" name="Line 28"/>
        <xdr:cNvSpPr>
          <a:spLocks noChangeShapeType="1"/>
        </xdr:cNvSpPr>
      </xdr:nvSpPr>
      <xdr:spPr bwMode="auto">
        <a:xfrm>
          <a:off x="5962650" y="5114925"/>
          <a:ext cx="695325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</xdr:col>
      <xdr:colOff>9525</xdr:colOff>
      <xdr:row>31</xdr:row>
      <xdr:rowOff>85725</xdr:rowOff>
    </xdr:from>
    <xdr:to>
      <xdr:col>6</xdr:col>
      <xdr:colOff>209550</xdr:colOff>
      <xdr:row>31</xdr:row>
      <xdr:rowOff>85725</xdr:rowOff>
    </xdr:to>
    <xdr:sp macro="" textlink="">
      <xdr:nvSpPr>
        <xdr:cNvPr id="26" name="Line 29"/>
        <xdr:cNvSpPr>
          <a:spLocks noChangeShapeType="1"/>
        </xdr:cNvSpPr>
      </xdr:nvSpPr>
      <xdr:spPr bwMode="auto">
        <a:xfrm flipH="1">
          <a:off x="3667125" y="5105400"/>
          <a:ext cx="200025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</xdr:col>
      <xdr:colOff>333375</xdr:colOff>
      <xdr:row>33</xdr:row>
      <xdr:rowOff>9525</xdr:rowOff>
    </xdr:from>
    <xdr:to>
      <xdr:col>7</xdr:col>
      <xdr:colOff>361950</xdr:colOff>
      <xdr:row>35</xdr:row>
      <xdr:rowOff>0</xdr:rowOff>
    </xdr:to>
    <xdr:sp macro="" textlink="">
      <xdr:nvSpPr>
        <xdr:cNvPr id="27" name="Line 30"/>
        <xdr:cNvSpPr>
          <a:spLocks noChangeShapeType="1"/>
        </xdr:cNvSpPr>
      </xdr:nvSpPr>
      <xdr:spPr bwMode="auto">
        <a:xfrm flipH="1">
          <a:off x="3990975" y="5353050"/>
          <a:ext cx="638175" cy="314325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</xdr:col>
      <xdr:colOff>276225</xdr:colOff>
      <xdr:row>33</xdr:row>
      <xdr:rowOff>19050</xdr:rowOff>
    </xdr:from>
    <xdr:to>
      <xdr:col>8</xdr:col>
      <xdr:colOff>304800</xdr:colOff>
      <xdr:row>35</xdr:row>
      <xdr:rowOff>9525</xdr:rowOff>
    </xdr:to>
    <xdr:sp macro="" textlink="">
      <xdr:nvSpPr>
        <xdr:cNvPr id="28" name="Line 31"/>
        <xdr:cNvSpPr>
          <a:spLocks noChangeShapeType="1"/>
        </xdr:cNvSpPr>
      </xdr:nvSpPr>
      <xdr:spPr bwMode="auto">
        <a:xfrm flipH="1">
          <a:off x="4543425" y="5362575"/>
          <a:ext cx="638175" cy="314325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</xdr:col>
      <xdr:colOff>542925</xdr:colOff>
      <xdr:row>33</xdr:row>
      <xdr:rowOff>19050</xdr:rowOff>
    </xdr:from>
    <xdr:to>
      <xdr:col>9</xdr:col>
      <xdr:colOff>571500</xdr:colOff>
      <xdr:row>35</xdr:row>
      <xdr:rowOff>9525</xdr:rowOff>
    </xdr:to>
    <xdr:sp macro="" textlink="">
      <xdr:nvSpPr>
        <xdr:cNvPr id="29" name="Line 32"/>
        <xdr:cNvSpPr>
          <a:spLocks noChangeShapeType="1"/>
        </xdr:cNvSpPr>
      </xdr:nvSpPr>
      <xdr:spPr bwMode="auto">
        <a:xfrm flipH="1">
          <a:off x="5419725" y="5362575"/>
          <a:ext cx="638175" cy="314325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</xdr:col>
      <xdr:colOff>304800</xdr:colOff>
      <xdr:row>33</xdr:row>
      <xdr:rowOff>0</xdr:rowOff>
    </xdr:from>
    <xdr:to>
      <xdr:col>11</xdr:col>
      <xdr:colOff>333375</xdr:colOff>
      <xdr:row>34</xdr:row>
      <xdr:rowOff>161925</xdr:rowOff>
    </xdr:to>
    <xdr:sp macro="" textlink="">
      <xdr:nvSpPr>
        <xdr:cNvPr id="30" name="Line 33"/>
        <xdr:cNvSpPr>
          <a:spLocks noChangeShapeType="1"/>
        </xdr:cNvSpPr>
      </xdr:nvSpPr>
      <xdr:spPr bwMode="auto">
        <a:xfrm flipH="1">
          <a:off x="6400800" y="5343525"/>
          <a:ext cx="638175" cy="32385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</xdr:col>
      <xdr:colOff>428625</xdr:colOff>
      <xdr:row>21</xdr:row>
      <xdr:rowOff>38100</xdr:rowOff>
    </xdr:from>
    <xdr:to>
      <xdr:col>8</xdr:col>
      <xdr:colOff>104775</xdr:colOff>
      <xdr:row>22</xdr:row>
      <xdr:rowOff>152400</xdr:rowOff>
    </xdr:to>
    <xdr:sp macro="" textlink="">
      <xdr:nvSpPr>
        <xdr:cNvPr id="31" name="Line 34"/>
        <xdr:cNvSpPr>
          <a:spLocks noChangeShapeType="1"/>
        </xdr:cNvSpPr>
      </xdr:nvSpPr>
      <xdr:spPr bwMode="auto">
        <a:xfrm flipV="1">
          <a:off x="4086225" y="3438525"/>
          <a:ext cx="895350" cy="276225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600075</xdr:colOff>
      <xdr:row>14</xdr:row>
      <xdr:rowOff>142875</xdr:rowOff>
    </xdr:from>
    <xdr:to>
      <xdr:col>10</xdr:col>
      <xdr:colOff>257175</xdr:colOff>
      <xdr:row>24</xdr:row>
      <xdr:rowOff>9525</xdr:rowOff>
    </xdr:to>
    <xdr:sp macro="" textlink="">
      <xdr:nvSpPr>
        <xdr:cNvPr id="32" name="Line 36"/>
        <xdr:cNvSpPr>
          <a:spLocks noChangeShapeType="1"/>
        </xdr:cNvSpPr>
      </xdr:nvSpPr>
      <xdr:spPr bwMode="auto">
        <a:xfrm flipV="1">
          <a:off x="1819275" y="2409825"/>
          <a:ext cx="4533900" cy="148590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</xdr:col>
      <xdr:colOff>514350</xdr:colOff>
      <xdr:row>43</xdr:row>
      <xdr:rowOff>152400</xdr:rowOff>
    </xdr:from>
    <xdr:to>
      <xdr:col>7</xdr:col>
      <xdr:colOff>657225</xdr:colOff>
      <xdr:row>44</xdr:row>
      <xdr:rowOff>85725</xdr:rowOff>
    </xdr:to>
    <xdr:sp macro="" textlink="">
      <xdr:nvSpPr>
        <xdr:cNvPr id="33" name="Line 37"/>
        <xdr:cNvSpPr>
          <a:spLocks noChangeShapeType="1"/>
        </xdr:cNvSpPr>
      </xdr:nvSpPr>
      <xdr:spPr bwMode="auto">
        <a:xfrm flipH="1" flipV="1">
          <a:off x="4171950" y="7115175"/>
          <a:ext cx="704850" cy="9525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</xdr:wsDr>
</file>

<file path=xl/drawings/drawing14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581025</xdr:colOff>
      <xdr:row>16</xdr:row>
      <xdr:rowOff>0</xdr:rowOff>
    </xdr:from>
    <xdr:to>
      <xdr:col>12</xdr:col>
      <xdr:colOff>9525</xdr:colOff>
      <xdr:row>25</xdr:row>
      <xdr:rowOff>0</xdr:rowOff>
    </xdr:to>
    <xdr:sp macro="" textlink="">
      <xdr:nvSpPr>
        <xdr:cNvPr id="2" name="Freeform 2"/>
        <xdr:cNvSpPr>
          <a:spLocks/>
        </xdr:cNvSpPr>
      </xdr:nvSpPr>
      <xdr:spPr bwMode="auto">
        <a:xfrm>
          <a:off x="5457825" y="2590800"/>
          <a:ext cx="1866900" cy="1457325"/>
        </a:xfrm>
        <a:custGeom>
          <a:avLst/>
          <a:gdLst>
            <a:gd name="T0" fmla="*/ 2 w 28"/>
            <a:gd name="T1" fmla="*/ 0 h 157"/>
            <a:gd name="T2" fmla="*/ 27 w 28"/>
            <a:gd name="T3" fmla="*/ 34 h 157"/>
            <a:gd name="T4" fmla="*/ 0 w 28"/>
            <a:gd name="T5" fmla="*/ 70 h 157"/>
            <a:gd name="T6" fmla="*/ 28 w 28"/>
            <a:gd name="T7" fmla="*/ 105 h 157"/>
            <a:gd name="T8" fmla="*/ 2 w 28"/>
            <a:gd name="T9" fmla="*/ 157 h 157"/>
          </a:gdLst>
          <a:ahLst/>
          <a:cxnLst>
            <a:cxn ang="0">
              <a:pos x="T0" y="T1"/>
            </a:cxn>
            <a:cxn ang="0">
              <a:pos x="T2" y="T3"/>
            </a:cxn>
            <a:cxn ang="0">
              <a:pos x="T4" y="T5"/>
            </a:cxn>
            <a:cxn ang="0">
              <a:pos x="T6" y="T7"/>
            </a:cxn>
            <a:cxn ang="0">
              <a:pos x="T8" y="T9"/>
            </a:cxn>
          </a:cxnLst>
          <a:rect l="0" t="0" r="r" b="b"/>
          <a:pathLst>
            <a:path w="28" h="157">
              <a:moveTo>
                <a:pt x="2" y="0"/>
              </a:moveTo>
              <a:cubicBezTo>
                <a:pt x="14" y="11"/>
                <a:pt x="27" y="22"/>
                <a:pt x="27" y="34"/>
              </a:cubicBezTo>
              <a:cubicBezTo>
                <a:pt x="27" y="46"/>
                <a:pt x="0" y="58"/>
                <a:pt x="0" y="70"/>
              </a:cubicBezTo>
              <a:cubicBezTo>
                <a:pt x="0" y="82"/>
                <a:pt x="28" y="91"/>
                <a:pt x="28" y="105"/>
              </a:cubicBezTo>
              <a:cubicBezTo>
                <a:pt x="28" y="119"/>
                <a:pt x="6" y="149"/>
                <a:pt x="2" y="157"/>
              </a:cubicBezTo>
            </a:path>
          </a:pathLst>
        </a:custGeom>
        <a:noFill/>
        <a:ln w="19050" cap="flat" cmpd="sng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</a:extLst>
      </xdr:spPr>
    </xdr:sp>
    <xdr:clientData/>
  </xdr:twoCellAnchor>
  <xdr:twoCellAnchor>
    <xdr:from>
      <xdr:col>8</xdr:col>
      <xdr:colOff>590550</xdr:colOff>
      <xdr:row>15</xdr:row>
      <xdr:rowOff>161925</xdr:rowOff>
    </xdr:from>
    <xdr:to>
      <xdr:col>12</xdr:col>
      <xdr:colOff>9525</xdr:colOff>
      <xdr:row>25</xdr:row>
      <xdr:rowOff>9525</xdr:rowOff>
    </xdr:to>
    <xdr:sp macro="" textlink="">
      <xdr:nvSpPr>
        <xdr:cNvPr id="3" name="Freeform 3"/>
        <xdr:cNvSpPr>
          <a:spLocks/>
        </xdr:cNvSpPr>
      </xdr:nvSpPr>
      <xdr:spPr bwMode="auto">
        <a:xfrm>
          <a:off x="5467350" y="2590800"/>
          <a:ext cx="1857375" cy="1466850"/>
        </a:xfrm>
        <a:custGeom>
          <a:avLst/>
          <a:gdLst>
            <a:gd name="T0" fmla="*/ 26 w 27"/>
            <a:gd name="T1" fmla="*/ 0 h 159"/>
            <a:gd name="T2" fmla="*/ 0 w 27"/>
            <a:gd name="T3" fmla="*/ 35 h 159"/>
            <a:gd name="T4" fmla="*/ 27 w 27"/>
            <a:gd name="T5" fmla="*/ 71 h 159"/>
            <a:gd name="T6" fmla="*/ 1 w 27"/>
            <a:gd name="T7" fmla="*/ 106 h 159"/>
            <a:gd name="T8" fmla="*/ 26 w 27"/>
            <a:gd name="T9" fmla="*/ 159 h 159"/>
          </a:gdLst>
          <a:ahLst/>
          <a:cxnLst>
            <a:cxn ang="0">
              <a:pos x="T0" y="T1"/>
            </a:cxn>
            <a:cxn ang="0">
              <a:pos x="T2" y="T3"/>
            </a:cxn>
            <a:cxn ang="0">
              <a:pos x="T4" y="T5"/>
            </a:cxn>
            <a:cxn ang="0">
              <a:pos x="T6" y="T7"/>
            </a:cxn>
            <a:cxn ang="0">
              <a:pos x="T8" y="T9"/>
            </a:cxn>
          </a:cxnLst>
          <a:rect l="0" t="0" r="r" b="b"/>
          <a:pathLst>
            <a:path w="27" h="159">
              <a:moveTo>
                <a:pt x="26" y="0"/>
              </a:moveTo>
              <a:cubicBezTo>
                <a:pt x="13" y="11"/>
                <a:pt x="0" y="23"/>
                <a:pt x="0" y="35"/>
              </a:cubicBezTo>
              <a:cubicBezTo>
                <a:pt x="0" y="47"/>
                <a:pt x="27" y="59"/>
                <a:pt x="27" y="71"/>
              </a:cubicBezTo>
              <a:cubicBezTo>
                <a:pt x="27" y="83"/>
                <a:pt x="1" y="91"/>
                <a:pt x="1" y="106"/>
              </a:cubicBezTo>
              <a:cubicBezTo>
                <a:pt x="1" y="121"/>
                <a:pt x="13" y="140"/>
                <a:pt x="26" y="159"/>
              </a:cubicBezTo>
            </a:path>
          </a:pathLst>
        </a:custGeom>
        <a:noFill/>
        <a:ln w="19050" cap="flat" cmpd="sng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</a:extLst>
      </xdr:spPr>
    </xdr:sp>
    <xdr:clientData/>
  </xdr:twoCellAnchor>
  <xdr:twoCellAnchor>
    <xdr:from>
      <xdr:col>0</xdr:col>
      <xdr:colOff>533400</xdr:colOff>
      <xdr:row>4</xdr:row>
      <xdr:rowOff>76200</xdr:rowOff>
    </xdr:from>
    <xdr:to>
      <xdr:col>4</xdr:col>
      <xdr:colOff>0</xdr:colOff>
      <xdr:row>4</xdr:row>
      <xdr:rowOff>76200</xdr:rowOff>
    </xdr:to>
    <xdr:sp macro="" textlink="">
      <xdr:nvSpPr>
        <xdr:cNvPr id="4" name="Line 5"/>
        <xdr:cNvSpPr>
          <a:spLocks noChangeShapeType="1"/>
        </xdr:cNvSpPr>
      </xdr:nvSpPr>
      <xdr:spPr bwMode="auto">
        <a:xfrm>
          <a:off x="533400" y="723900"/>
          <a:ext cx="1905000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47625</xdr:colOff>
      <xdr:row>5</xdr:row>
      <xdr:rowOff>85725</xdr:rowOff>
    </xdr:from>
    <xdr:to>
      <xdr:col>6</xdr:col>
      <xdr:colOff>9525</xdr:colOff>
      <xdr:row>5</xdr:row>
      <xdr:rowOff>85725</xdr:rowOff>
    </xdr:to>
    <xdr:sp macro="" textlink="">
      <xdr:nvSpPr>
        <xdr:cNvPr id="5" name="Line 8"/>
        <xdr:cNvSpPr>
          <a:spLocks noChangeShapeType="1"/>
        </xdr:cNvSpPr>
      </xdr:nvSpPr>
      <xdr:spPr bwMode="auto">
        <a:xfrm>
          <a:off x="1266825" y="895350"/>
          <a:ext cx="2400300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19050</xdr:colOff>
      <xdr:row>9</xdr:row>
      <xdr:rowOff>85725</xdr:rowOff>
    </xdr:from>
    <xdr:to>
      <xdr:col>6</xdr:col>
      <xdr:colOff>0</xdr:colOff>
      <xdr:row>9</xdr:row>
      <xdr:rowOff>85725</xdr:rowOff>
    </xdr:to>
    <xdr:sp macro="" textlink="">
      <xdr:nvSpPr>
        <xdr:cNvPr id="6" name="Line 10"/>
        <xdr:cNvSpPr>
          <a:spLocks noChangeShapeType="1"/>
        </xdr:cNvSpPr>
      </xdr:nvSpPr>
      <xdr:spPr bwMode="auto">
        <a:xfrm>
          <a:off x="1847850" y="1543050"/>
          <a:ext cx="1809750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</xdr:col>
      <xdr:colOff>38100</xdr:colOff>
      <xdr:row>25</xdr:row>
      <xdr:rowOff>9525</xdr:rowOff>
    </xdr:from>
    <xdr:to>
      <xdr:col>12</xdr:col>
      <xdr:colOff>228600</xdr:colOff>
      <xdr:row>25</xdr:row>
      <xdr:rowOff>95250</xdr:rowOff>
    </xdr:to>
    <xdr:sp macro="" textlink="">
      <xdr:nvSpPr>
        <xdr:cNvPr id="7" name="Line 11"/>
        <xdr:cNvSpPr>
          <a:spLocks noChangeShapeType="1"/>
        </xdr:cNvSpPr>
      </xdr:nvSpPr>
      <xdr:spPr bwMode="auto">
        <a:xfrm flipH="1" flipV="1">
          <a:off x="6134100" y="4057650"/>
          <a:ext cx="1409700" cy="85725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12</xdr:col>
      <xdr:colOff>76200</xdr:colOff>
      <xdr:row>14</xdr:row>
      <xdr:rowOff>0</xdr:rowOff>
    </xdr:from>
    <xdr:to>
      <xdr:col>12</xdr:col>
      <xdr:colOff>419100</xdr:colOff>
      <xdr:row>14</xdr:row>
      <xdr:rowOff>104775</xdr:rowOff>
    </xdr:to>
    <xdr:sp macro="" textlink="">
      <xdr:nvSpPr>
        <xdr:cNvPr id="8" name="Line 12"/>
        <xdr:cNvSpPr>
          <a:spLocks noChangeShapeType="1"/>
        </xdr:cNvSpPr>
      </xdr:nvSpPr>
      <xdr:spPr bwMode="auto">
        <a:xfrm flipH="1">
          <a:off x="7391400" y="2266950"/>
          <a:ext cx="342900" cy="104775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</xdr:col>
      <xdr:colOff>590550</xdr:colOff>
      <xdr:row>14</xdr:row>
      <xdr:rowOff>95250</xdr:rowOff>
    </xdr:from>
    <xdr:to>
      <xdr:col>12</xdr:col>
      <xdr:colOff>19050</xdr:colOff>
      <xdr:row>15</xdr:row>
      <xdr:rowOff>161925</xdr:rowOff>
    </xdr:to>
    <xdr:sp macro="" textlink="">
      <xdr:nvSpPr>
        <xdr:cNvPr id="9" name="Freeform 13"/>
        <xdr:cNvSpPr>
          <a:spLocks/>
        </xdr:cNvSpPr>
      </xdr:nvSpPr>
      <xdr:spPr bwMode="auto">
        <a:xfrm>
          <a:off x="5467350" y="2362200"/>
          <a:ext cx="1866900" cy="228600"/>
        </a:xfrm>
        <a:custGeom>
          <a:avLst/>
          <a:gdLst>
            <a:gd name="T0" fmla="*/ 1 w 28"/>
            <a:gd name="T1" fmla="*/ 24 h 24"/>
            <a:gd name="T2" fmla="*/ 2 w 28"/>
            <a:gd name="T3" fmla="*/ 7 h 24"/>
            <a:gd name="T4" fmla="*/ 13 w 28"/>
            <a:gd name="T5" fmla="*/ 0 h 24"/>
            <a:gd name="T6" fmla="*/ 26 w 28"/>
            <a:gd name="T7" fmla="*/ 8 h 24"/>
            <a:gd name="T8" fmla="*/ 26 w 28"/>
            <a:gd name="T9" fmla="*/ 23 h 24"/>
          </a:gdLst>
          <a:ahLst/>
          <a:cxnLst>
            <a:cxn ang="0">
              <a:pos x="T0" y="T1"/>
            </a:cxn>
            <a:cxn ang="0">
              <a:pos x="T2" y="T3"/>
            </a:cxn>
            <a:cxn ang="0">
              <a:pos x="T4" y="T5"/>
            </a:cxn>
            <a:cxn ang="0">
              <a:pos x="T6" y="T7"/>
            </a:cxn>
            <a:cxn ang="0">
              <a:pos x="T8" y="T9"/>
            </a:cxn>
          </a:cxnLst>
          <a:rect l="0" t="0" r="r" b="b"/>
          <a:pathLst>
            <a:path w="28" h="24">
              <a:moveTo>
                <a:pt x="1" y="24"/>
              </a:moveTo>
              <a:cubicBezTo>
                <a:pt x="0" y="17"/>
                <a:pt x="0" y="11"/>
                <a:pt x="2" y="7"/>
              </a:cubicBezTo>
              <a:cubicBezTo>
                <a:pt x="4" y="3"/>
                <a:pt x="9" y="0"/>
                <a:pt x="13" y="0"/>
              </a:cubicBezTo>
              <a:cubicBezTo>
                <a:pt x="17" y="0"/>
                <a:pt x="24" y="4"/>
                <a:pt x="26" y="8"/>
              </a:cubicBezTo>
              <a:cubicBezTo>
                <a:pt x="28" y="12"/>
                <a:pt x="26" y="21"/>
                <a:pt x="26" y="23"/>
              </a:cubicBezTo>
            </a:path>
          </a:pathLst>
        </a:custGeom>
        <a:noFill/>
        <a:ln w="19050" cap="flat" cmpd="sng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</a:extLst>
      </xdr:spPr>
    </xdr:sp>
    <xdr:clientData/>
  </xdr:twoCellAnchor>
  <xdr:twoCellAnchor>
    <xdr:from>
      <xdr:col>8</xdr:col>
      <xdr:colOff>600075</xdr:colOff>
      <xdr:row>25</xdr:row>
      <xdr:rowOff>0</xdr:rowOff>
    </xdr:from>
    <xdr:to>
      <xdr:col>8</xdr:col>
      <xdr:colOff>600075</xdr:colOff>
      <xdr:row>25</xdr:row>
      <xdr:rowOff>104775</xdr:rowOff>
    </xdr:to>
    <xdr:sp macro="" textlink="">
      <xdr:nvSpPr>
        <xdr:cNvPr id="10" name="Line 15"/>
        <xdr:cNvSpPr>
          <a:spLocks noChangeShapeType="1"/>
        </xdr:cNvSpPr>
      </xdr:nvSpPr>
      <xdr:spPr bwMode="auto">
        <a:xfrm>
          <a:off x="5476875" y="4048125"/>
          <a:ext cx="0" cy="104775"/>
        </a:xfrm>
        <a:prstGeom prst="line">
          <a:avLst/>
        </a:prstGeom>
        <a:noFill/>
        <a:ln w="19050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11</xdr:col>
      <xdr:colOff>47625</xdr:colOff>
      <xdr:row>25</xdr:row>
      <xdr:rowOff>0</xdr:rowOff>
    </xdr:from>
    <xdr:to>
      <xdr:col>11</xdr:col>
      <xdr:colOff>47625</xdr:colOff>
      <xdr:row>25</xdr:row>
      <xdr:rowOff>104775</xdr:rowOff>
    </xdr:to>
    <xdr:sp macro="" textlink="">
      <xdr:nvSpPr>
        <xdr:cNvPr id="11" name="Line 16"/>
        <xdr:cNvSpPr>
          <a:spLocks noChangeShapeType="1"/>
        </xdr:cNvSpPr>
      </xdr:nvSpPr>
      <xdr:spPr bwMode="auto">
        <a:xfrm>
          <a:off x="6753225" y="4048125"/>
          <a:ext cx="0" cy="104775"/>
        </a:xfrm>
        <a:prstGeom prst="line">
          <a:avLst/>
        </a:prstGeom>
        <a:noFill/>
        <a:ln w="19050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15</xdr:col>
      <xdr:colOff>9525</xdr:colOff>
      <xdr:row>20</xdr:row>
      <xdr:rowOff>66675</xdr:rowOff>
    </xdr:from>
    <xdr:to>
      <xdr:col>19</xdr:col>
      <xdr:colOff>9525</xdr:colOff>
      <xdr:row>21</xdr:row>
      <xdr:rowOff>95250</xdr:rowOff>
    </xdr:to>
    <xdr:sp macro="" textlink="">
      <xdr:nvSpPr>
        <xdr:cNvPr id="12" name="Line 17"/>
        <xdr:cNvSpPr>
          <a:spLocks noChangeShapeType="1"/>
        </xdr:cNvSpPr>
      </xdr:nvSpPr>
      <xdr:spPr bwMode="auto">
        <a:xfrm flipH="1" flipV="1">
          <a:off x="9153525" y="3305175"/>
          <a:ext cx="2438400" cy="19050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</xdr:col>
      <xdr:colOff>152400</xdr:colOff>
      <xdr:row>25</xdr:row>
      <xdr:rowOff>66675</xdr:rowOff>
    </xdr:from>
    <xdr:to>
      <xdr:col>8</xdr:col>
      <xdr:colOff>495300</xdr:colOff>
      <xdr:row>25</xdr:row>
      <xdr:rowOff>133350</xdr:rowOff>
    </xdr:to>
    <xdr:sp macro="" textlink="">
      <xdr:nvSpPr>
        <xdr:cNvPr id="13" name="Line 19"/>
        <xdr:cNvSpPr>
          <a:spLocks noChangeShapeType="1"/>
        </xdr:cNvSpPr>
      </xdr:nvSpPr>
      <xdr:spPr bwMode="auto">
        <a:xfrm flipV="1">
          <a:off x="4419600" y="4114800"/>
          <a:ext cx="952500" cy="66675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</xdr:wsDr>
</file>

<file path=xl/drawings/drawing15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581025</xdr:colOff>
      <xdr:row>16</xdr:row>
      <xdr:rowOff>0</xdr:rowOff>
    </xdr:from>
    <xdr:to>
      <xdr:col>12</xdr:col>
      <xdr:colOff>9525</xdr:colOff>
      <xdr:row>25</xdr:row>
      <xdr:rowOff>0</xdr:rowOff>
    </xdr:to>
    <xdr:sp macro="" textlink="">
      <xdr:nvSpPr>
        <xdr:cNvPr id="2" name="Freeform 2"/>
        <xdr:cNvSpPr>
          <a:spLocks/>
        </xdr:cNvSpPr>
      </xdr:nvSpPr>
      <xdr:spPr bwMode="auto">
        <a:xfrm>
          <a:off x="5457825" y="2590800"/>
          <a:ext cx="1866900" cy="1457325"/>
        </a:xfrm>
        <a:custGeom>
          <a:avLst/>
          <a:gdLst>
            <a:gd name="T0" fmla="*/ 2 w 28"/>
            <a:gd name="T1" fmla="*/ 0 h 157"/>
            <a:gd name="T2" fmla="*/ 27 w 28"/>
            <a:gd name="T3" fmla="*/ 34 h 157"/>
            <a:gd name="T4" fmla="*/ 0 w 28"/>
            <a:gd name="T5" fmla="*/ 70 h 157"/>
            <a:gd name="T6" fmla="*/ 28 w 28"/>
            <a:gd name="T7" fmla="*/ 105 h 157"/>
            <a:gd name="T8" fmla="*/ 2 w 28"/>
            <a:gd name="T9" fmla="*/ 157 h 157"/>
          </a:gdLst>
          <a:ahLst/>
          <a:cxnLst>
            <a:cxn ang="0">
              <a:pos x="T0" y="T1"/>
            </a:cxn>
            <a:cxn ang="0">
              <a:pos x="T2" y="T3"/>
            </a:cxn>
            <a:cxn ang="0">
              <a:pos x="T4" y="T5"/>
            </a:cxn>
            <a:cxn ang="0">
              <a:pos x="T6" y="T7"/>
            </a:cxn>
            <a:cxn ang="0">
              <a:pos x="T8" y="T9"/>
            </a:cxn>
          </a:cxnLst>
          <a:rect l="0" t="0" r="r" b="b"/>
          <a:pathLst>
            <a:path w="28" h="157">
              <a:moveTo>
                <a:pt x="2" y="0"/>
              </a:moveTo>
              <a:cubicBezTo>
                <a:pt x="14" y="11"/>
                <a:pt x="27" y="22"/>
                <a:pt x="27" y="34"/>
              </a:cubicBezTo>
              <a:cubicBezTo>
                <a:pt x="27" y="46"/>
                <a:pt x="0" y="58"/>
                <a:pt x="0" y="70"/>
              </a:cubicBezTo>
              <a:cubicBezTo>
                <a:pt x="0" y="82"/>
                <a:pt x="28" y="91"/>
                <a:pt x="28" y="105"/>
              </a:cubicBezTo>
              <a:cubicBezTo>
                <a:pt x="28" y="119"/>
                <a:pt x="6" y="149"/>
                <a:pt x="2" y="157"/>
              </a:cubicBezTo>
            </a:path>
          </a:pathLst>
        </a:custGeom>
        <a:noFill/>
        <a:ln w="19050" cap="flat" cmpd="sng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</a:extLst>
      </xdr:spPr>
    </xdr:sp>
    <xdr:clientData/>
  </xdr:twoCellAnchor>
  <xdr:twoCellAnchor>
    <xdr:from>
      <xdr:col>8</xdr:col>
      <xdr:colOff>590550</xdr:colOff>
      <xdr:row>15</xdr:row>
      <xdr:rowOff>161925</xdr:rowOff>
    </xdr:from>
    <xdr:to>
      <xdr:col>12</xdr:col>
      <xdr:colOff>9525</xdr:colOff>
      <xdr:row>25</xdr:row>
      <xdr:rowOff>9525</xdr:rowOff>
    </xdr:to>
    <xdr:sp macro="" textlink="">
      <xdr:nvSpPr>
        <xdr:cNvPr id="3" name="Freeform 3"/>
        <xdr:cNvSpPr>
          <a:spLocks/>
        </xdr:cNvSpPr>
      </xdr:nvSpPr>
      <xdr:spPr bwMode="auto">
        <a:xfrm>
          <a:off x="5467350" y="2590800"/>
          <a:ext cx="1857375" cy="1466850"/>
        </a:xfrm>
        <a:custGeom>
          <a:avLst/>
          <a:gdLst>
            <a:gd name="T0" fmla="*/ 26 w 27"/>
            <a:gd name="T1" fmla="*/ 0 h 159"/>
            <a:gd name="T2" fmla="*/ 0 w 27"/>
            <a:gd name="T3" fmla="*/ 35 h 159"/>
            <a:gd name="T4" fmla="*/ 27 w 27"/>
            <a:gd name="T5" fmla="*/ 71 h 159"/>
            <a:gd name="T6" fmla="*/ 1 w 27"/>
            <a:gd name="T7" fmla="*/ 106 h 159"/>
            <a:gd name="T8" fmla="*/ 26 w 27"/>
            <a:gd name="T9" fmla="*/ 159 h 159"/>
          </a:gdLst>
          <a:ahLst/>
          <a:cxnLst>
            <a:cxn ang="0">
              <a:pos x="T0" y="T1"/>
            </a:cxn>
            <a:cxn ang="0">
              <a:pos x="T2" y="T3"/>
            </a:cxn>
            <a:cxn ang="0">
              <a:pos x="T4" y="T5"/>
            </a:cxn>
            <a:cxn ang="0">
              <a:pos x="T6" y="T7"/>
            </a:cxn>
            <a:cxn ang="0">
              <a:pos x="T8" y="T9"/>
            </a:cxn>
          </a:cxnLst>
          <a:rect l="0" t="0" r="r" b="b"/>
          <a:pathLst>
            <a:path w="27" h="159">
              <a:moveTo>
                <a:pt x="26" y="0"/>
              </a:moveTo>
              <a:cubicBezTo>
                <a:pt x="13" y="11"/>
                <a:pt x="0" y="23"/>
                <a:pt x="0" y="35"/>
              </a:cubicBezTo>
              <a:cubicBezTo>
                <a:pt x="0" y="47"/>
                <a:pt x="27" y="59"/>
                <a:pt x="27" y="71"/>
              </a:cubicBezTo>
              <a:cubicBezTo>
                <a:pt x="27" y="83"/>
                <a:pt x="1" y="91"/>
                <a:pt x="1" y="106"/>
              </a:cubicBezTo>
              <a:cubicBezTo>
                <a:pt x="1" y="121"/>
                <a:pt x="13" y="140"/>
                <a:pt x="26" y="159"/>
              </a:cubicBezTo>
            </a:path>
          </a:pathLst>
        </a:custGeom>
        <a:noFill/>
        <a:ln w="19050" cap="flat" cmpd="sng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</a:extLst>
      </xdr:spPr>
    </xdr:sp>
    <xdr:clientData/>
  </xdr:twoCellAnchor>
  <xdr:twoCellAnchor>
    <xdr:from>
      <xdr:col>0</xdr:col>
      <xdr:colOff>533400</xdr:colOff>
      <xdr:row>4</xdr:row>
      <xdr:rowOff>76200</xdr:rowOff>
    </xdr:from>
    <xdr:to>
      <xdr:col>4</xdr:col>
      <xdr:colOff>0</xdr:colOff>
      <xdr:row>4</xdr:row>
      <xdr:rowOff>76200</xdr:rowOff>
    </xdr:to>
    <xdr:sp macro="" textlink="">
      <xdr:nvSpPr>
        <xdr:cNvPr id="4" name="Line 5"/>
        <xdr:cNvSpPr>
          <a:spLocks noChangeShapeType="1"/>
        </xdr:cNvSpPr>
      </xdr:nvSpPr>
      <xdr:spPr bwMode="auto">
        <a:xfrm>
          <a:off x="533400" y="723900"/>
          <a:ext cx="1905000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47625</xdr:colOff>
      <xdr:row>5</xdr:row>
      <xdr:rowOff>85725</xdr:rowOff>
    </xdr:from>
    <xdr:to>
      <xdr:col>6</xdr:col>
      <xdr:colOff>9525</xdr:colOff>
      <xdr:row>5</xdr:row>
      <xdr:rowOff>85725</xdr:rowOff>
    </xdr:to>
    <xdr:sp macro="" textlink="">
      <xdr:nvSpPr>
        <xdr:cNvPr id="5" name="Line 8"/>
        <xdr:cNvSpPr>
          <a:spLocks noChangeShapeType="1"/>
        </xdr:cNvSpPr>
      </xdr:nvSpPr>
      <xdr:spPr bwMode="auto">
        <a:xfrm>
          <a:off x="1266825" y="895350"/>
          <a:ext cx="2400300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19050</xdr:colOff>
      <xdr:row>9</xdr:row>
      <xdr:rowOff>85725</xdr:rowOff>
    </xdr:from>
    <xdr:to>
      <xdr:col>6</xdr:col>
      <xdr:colOff>0</xdr:colOff>
      <xdr:row>9</xdr:row>
      <xdr:rowOff>85725</xdr:rowOff>
    </xdr:to>
    <xdr:sp macro="" textlink="">
      <xdr:nvSpPr>
        <xdr:cNvPr id="6" name="Line 10"/>
        <xdr:cNvSpPr>
          <a:spLocks noChangeShapeType="1"/>
        </xdr:cNvSpPr>
      </xdr:nvSpPr>
      <xdr:spPr bwMode="auto">
        <a:xfrm>
          <a:off x="1847850" y="1543050"/>
          <a:ext cx="1809750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</xdr:col>
      <xdr:colOff>38100</xdr:colOff>
      <xdr:row>25</xdr:row>
      <xdr:rowOff>9525</xdr:rowOff>
    </xdr:from>
    <xdr:to>
      <xdr:col>12</xdr:col>
      <xdr:colOff>228600</xdr:colOff>
      <xdr:row>25</xdr:row>
      <xdr:rowOff>95250</xdr:rowOff>
    </xdr:to>
    <xdr:sp macro="" textlink="">
      <xdr:nvSpPr>
        <xdr:cNvPr id="7" name="Line 11"/>
        <xdr:cNvSpPr>
          <a:spLocks noChangeShapeType="1"/>
        </xdr:cNvSpPr>
      </xdr:nvSpPr>
      <xdr:spPr bwMode="auto">
        <a:xfrm flipH="1" flipV="1">
          <a:off x="6134100" y="4057650"/>
          <a:ext cx="1409700" cy="85725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12</xdr:col>
      <xdr:colOff>76200</xdr:colOff>
      <xdr:row>14</xdr:row>
      <xdr:rowOff>0</xdr:rowOff>
    </xdr:from>
    <xdr:to>
      <xdr:col>12</xdr:col>
      <xdr:colOff>419100</xdr:colOff>
      <xdr:row>14</xdr:row>
      <xdr:rowOff>104775</xdr:rowOff>
    </xdr:to>
    <xdr:sp macro="" textlink="">
      <xdr:nvSpPr>
        <xdr:cNvPr id="8" name="Line 12"/>
        <xdr:cNvSpPr>
          <a:spLocks noChangeShapeType="1"/>
        </xdr:cNvSpPr>
      </xdr:nvSpPr>
      <xdr:spPr bwMode="auto">
        <a:xfrm flipH="1">
          <a:off x="7391400" y="2266950"/>
          <a:ext cx="342900" cy="104775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</xdr:col>
      <xdr:colOff>590550</xdr:colOff>
      <xdr:row>14</xdr:row>
      <xdr:rowOff>95250</xdr:rowOff>
    </xdr:from>
    <xdr:to>
      <xdr:col>12</xdr:col>
      <xdr:colOff>19050</xdr:colOff>
      <xdr:row>15</xdr:row>
      <xdr:rowOff>161925</xdr:rowOff>
    </xdr:to>
    <xdr:sp macro="" textlink="">
      <xdr:nvSpPr>
        <xdr:cNvPr id="9" name="Freeform 13"/>
        <xdr:cNvSpPr>
          <a:spLocks/>
        </xdr:cNvSpPr>
      </xdr:nvSpPr>
      <xdr:spPr bwMode="auto">
        <a:xfrm>
          <a:off x="5467350" y="2362200"/>
          <a:ext cx="1866900" cy="228600"/>
        </a:xfrm>
        <a:custGeom>
          <a:avLst/>
          <a:gdLst>
            <a:gd name="T0" fmla="*/ 1 w 28"/>
            <a:gd name="T1" fmla="*/ 24 h 24"/>
            <a:gd name="T2" fmla="*/ 2 w 28"/>
            <a:gd name="T3" fmla="*/ 7 h 24"/>
            <a:gd name="T4" fmla="*/ 13 w 28"/>
            <a:gd name="T5" fmla="*/ 0 h 24"/>
            <a:gd name="T6" fmla="*/ 26 w 28"/>
            <a:gd name="T7" fmla="*/ 8 h 24"/>
            <a:gd name="T8" fmla="*/ 26 w 28"/>
            <a:gd name="T9" fmla="*/ 23 h 24"/>
          </a:gdLst>
          <a:ahLst/>
          <a:cxnLst>
            <a:cxn ang="0">
              <a:pos x="T0" y="T1"/>
            </a:cxn>
            <a:cxn ang="0">
              <a:pos x="T2" y="T3"/>
            </a:cxn>
            <a:cxn ang="0">
              <a:pos x="T4" y="T5"/>
            </a:cxn>
            <a:cxn ang="0">
              <a:pos x="T6" y="T7"/>
            </a:cxn>
            <a:cxn ang="0">
              <a:pos x="T8" y="T9"/>
            </a:cxn>
          </a:cxnLst>
          <a:rect l="0" t="0" r="r" b="b"/>
          <a:pathLst>
            <a:path w="28" h="24">
              <a:moveTo>
                <a:pt x="1" y="24"/>
              </a:moveTo>
              <a:cubicBezTo>
                <a:pt x="0" y="17"/>
                <a:pt x="0" y="11"/>
                <a:pt x="2" y="7"/>
              </a:cubicBezTo>
              <a:cubicBezTo>
                <a:pt x="4" y="3"/>
                <a:pt x="9" y="0"/>
                <a:pt x="13" y="0"/>
              </a:cubicBezTo>
              <a:cubicBezTo>
                <a:pt x="17" y="0"/>
                <a:pt x="24" y="4"/>
                <a:pt x="26" y="8"/>
              </a:cubicBezTo>
              <a:cubicBezTo>
                <a:pt x="28" y="12"/>
                <a:pt x="26" y="21"/>
                <a:pt x="26" y="23"/>
              </a:cubicBezTo>
            </a:path>
          </a:pathLst>
        </a:custGeom>
        <a:noFill/>
        <a:ln w="19050" cap="flat" cmpd="sng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</a:extLst>
      </xdr:spPr>
    </xdr:sp>
    <xdr:clientData/>
  </xdr:twoCellAnchor>
  <xdr:twoCellAnchor>
    <xdr:from>
      <xdr:col>8</xdr:col>
      <xdr:colOff>600075</xdr:colOff>
      <xdr:row>25</xdr:row>
      <xdr:rowOff>0</xdr:rowOff>
    </xdr:from>
    <xdr:to>
      <xdr:col>8</xdr:col>
      <xdr:colOff>600075</xdr:colOff>
      <xdr:row>25</xdr:row>
      <xdr:rowOff>104775</xdr:rowOff>
    </xdr:to>
    <xdr:sp macro="" textlink="">
      <xdr:nvSpPr>
        <xdr:cNvPr id="10" name="Line 15"/>
        <xdr:cNvSpPr>
          <a:spLocks noChangeShapeType="1"/>
        </xdr:cNvSpPr>
      </xdr:nvSpPr>
      <xdr:spPr bwMode="auto">
        <a:xfrm>
          <a:off x="5476875" y="4048125"/>
          <a:ext cx="0" cy="104775"/>
        </a:xfrm>
        <a:prstGeom prst="line">
          <a:avLst/>
        </a:prstGeom>
        <a:noFill/>
        <a:ln w="19050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11</xdr:col>
      <xdr:colOff>47625</xdr:colOff>
      <xdr:row>25</xdr:row>
      <xdr:rowOff>0</xdr:rowOff>
    </xdr:from>
    <xdr:to>
      <xdr:col>11</xdr:col>
      <xdr:colOff>47625</xdr:colOff>
      <xdr:row>25</xdr:row>
      <xdr:rowOff>104775</xdr:rowOff>
    </xdr:to>
    <xdr:sp macro="" textlink="">
      <xdr:nvSpPr>
        <xdr:cNvPr id="11" name="Line 16"/>
        <xdr:cNvSpPr>
          <a:spLocks noChangeShapeType="1"/>
        </xdr:cNvSpPr>
      </xdr:nvSpPr>
      <xdr:spPr bwMode="auto">
        <a:xfrm>
          <a:off x="6753225" y="4048125"/>
          <a:ext cx="0" cy="104775"/>
        </a:xfrm>
        <a:prstGeom prst="line">
          <a:avLst/>
        </a:prstGeom>
        <a:noFill/>
        <a:ln w="19050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15</xdr:col>
      <xdr:colOff>9525</xdr:colOff>
      <xdr:row>20</xdr:row>
      <xdr:rowOff>66675</xdr:rowOff>
    </xdr:from>
    <xdr:to>
      <xdr:col>19</xdr:col>
      <xdr:colOff>9525</xdr:colOff>
      <xdr:row>21</xdr:row>
      <xdr:rowOff>95250</xdr:rowOff>
    </xdr:to>
    <xdr:sp macro="" textlink="">
      <xdr:nvSpPr>
        <xdr:cNvPr id="12" name="Line 17"/>
        <xdr:cNvSpPr>
          <a:spLocks noChangeShapeType="1"/>
        </xdr:cNvSpPr>
      </xdr:nvSpPr>
      <xdr:spPr bwMode="auto">
        <a:xfrm flipH="1" flipV="1">
          <a:off x="9153525" y="3305175"/>
          <a:ext cx="2438400" cy="19050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</xdr:col>
      <xdr:colOff>152400</xdr:colOff>
      <xdr:row>25</xdr:row>
      <xdr:rowOff>66675</xdr:rowOff>
    </xdr:from>
    <xdr:to>
      <xdr:col>8</xdr:col>
      <xdr:colOff>495300</xdr:colOff>
      <xdr:row>25</xdr:row>
      <xdr:rowOff>133350</xdr:rowOff>
    </xdr:to>
    <xdr:sp macro="" textlink="">
      <xdr:nvSpPr>
        <xdr:cNvPr id="13" name="Line 19"/>
        <xdr:cNvSpPr>
          <a:spLocks noChangeShapeType="1"/>
        </xdr:cNvSpPr>
      </xdr:nvSpPr>
      <xdr:spPr bwMode="auto">
        <a:xfrm flipV="1">
          <a:off x="4419600" y="4114800"/>
          <a:ext cx="952500" cy="66675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12</xdr:col>
      <xdr:colOff>28575</xdr:colOff>
      <xdr:row>25</xdr:row>
      <xdr:rowOff>123825</xdr:rowOff>
    </xdr:from>
    <xdr:to>
      <xdr:col>19</xdr:col>
      <xdr:colOff>28575</xdr:colOff>
      <xdr:row>27</xdr:row>
      <xdr:rowOff>104775</xdr:rowOff>
    </xdr:to>
    <xdr:sp macro="" textlink="">
      <xdr:nvSpPr>
        <xdr:cNvPr id="14" name="Line 20"/>
        <xdr:cNvSpPr>
          <a:spLocks noChangeShapeType="1"/>
        </xdr:cNvSpPr>
      </xdr:nvSpPr>
      <xdr:spPr bwMode="auto">
        <a:xfrm flipH="1" flipV="1">
          <a:off x="7343775" y="4171950"/>
          <a:ext cx="4267200" cy="30480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20</xdr:col>
      <xdr:colOff>9525</xdr:colOff>
      <xdr:row>30</xdr:row>
      <xdr:rowOff>104775</xdr:rowOff>
    </xdr:from>
    <xdr:to>
      <xdr:col>24</xdr:col>
      <xdr:colOff>190500</xdr:colOff>
      <xdr:row>39</xdr:row>
      <xdr:rowOff>114300</xdr:rowOff>
    </xdr:to>
    <xdr:sp macro="" textlink="">
      <xdr:nvSpPr>
        <xdr:cNvPr id="15" name="Text Box 21"/>
        <xdr:cNvSpPr txBox="1">
          <a:spLocks noChangeArrowheads="1"/>
        </xdr:cNvSpPr>
      </xdr:nvSpPr>
      <xdr:spPr bwMode="auto">
        <a:xfrm>
          <a:off x="12201525" y="4962525"/>
          <a:ext cx="2619375" cy="146685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r>
            <a:rPr lang="en-US" sz="1000" b="0" i="0" u="none" strike="noStrike" baseline="0">
              <a:solidFill>
                <a:srgbClr val="000000"/>
              </a:solidFill>
              <a:latin typeface="Arial"/>
              <a:cs typeface="Arial"/>
            </a:rPr>
            <a:t>The prototype 144 MHz  design gave a gain</a:t>
          </a:r>
        </a:p>
        <a:p>
          <a:pPr algn="l" rtl="0">
            <a:defRPr sz="1000"/>
          </a:pPr>
          <a:r>
            <a:rPr lang="en-US" sz="1000" b="0" i="0" u="none" strike="noStrike" baseline="0">
              <a:solidFill>
                <a:srgbClr val="000000"/>
              </a:solidFill>
              <a:latin typeface="Arial"/>
              <a:cs typeface="Arial"/>
            </a:rPr>
            <a:t>of 12bDB and a bandwidth  around 5MHz</a:t>
          </a:r>
        </a:p>
        <a:p>
          <a:pPr algn="l" rtl="0">
            <a:defRPr sz="1000"/>
          </a:pPr>
          <a:endParaRPr lang="en-US" sz="1000" b="0" i="0" u="none" strike="noStrike" baseline="0">
            <a:solidFill>
              <a:srgbClr val="000000"/>
            </a:solidFill>
            <a:latin typeface="Arial"/>
            <a:cs typeface="Arial"/>
          </a:endParaRPr>
        </a:p>
        <a:p>
          <a:pPr algn="l" rtl="0">
            <a:defRPr sz="1000"/>
          </a:pPr>
          <a:r>
            <a:rPr lang="en-US" sz="1000" b="0" i="0" u="none" strike="noStrike" baseline="0">
              <a:solidFill>
                <a:srgbClr val="000000"/>
              </a:solidFill>
              <a:latin typeface="Arial"/>
              <a:cs typeface="Arial"/>
            </a:rPr>
            <a:t>This antenna gave a constant performance</a:t>
          </a:r>
        </a:p>
        <a:p>
          <a:pPr algn="l" rtl="0">
            <a:defRPr sz="1000"/>
          </a:pPr>
          <a:r>
            <a:rPr lang="en-US" sz="1000" b="0" i="0" u="none" strike="noStrike" baseline="0">
              <a:solidFill>
                <a:srgbClr val="000000"/>
              </a:solidFill>
              <a:latin typeface="Arial"/>
              <a:cs typeface="Arial"/>
            </a:rPr>
            <a:t>over the whole 2 meter band.  The simple Yagi,</a:t>
          </a:r>
        </a:p>
        <a:p>
          <a:pPr algn="l" rtl="0">
            <a:defRPr sz="1000"/>
          </a:pPr>
          <a:r>
            <a:rPr lang="en-US" sz="1000" b="0" i="0" u="none" strike="noStrike" baseline="0">
              <a:solidFill>
                <a:srgbClr val="000000"/>
              </a:solidFill>
              <a:latin typeface="Arial"/>
              <a:cs typeface="Arial"/>
            </a:rPr>
            <a:t>by comarison, is essentially a narrow band</a:t>
          </a:r>
        </a:p>
        <a:p>
          <a:pPr algn="l" rtl="0">
            <a:defRPr sz="1000"/>
          </a:pPr>
          <a:r>
            <a:rPr lang="en-US" sz="1000" b="0" i="0" u="none" strike="noStrike" baseline="0">
              <a:solidFill>
                <a:srgbClr val="000000"/>
              </a:solidFill>
              <a:latin typeface="Arial"/>
              <a:cs typeface="Arial"/>
            </a:rPr>
            <a:t>antenna.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Relationship Id="rId4" Type="http://schemas.openxmlformats.org/officeDocument/2006/relationships/comments" Target="../comments1.xml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Relationship Id="rId4" Type="http://schemas.openxmlformats.org/officeDocument/2006/relationships/comments" Target="../comments2.xml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3.vml"/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Relationship Id="rId4" Type="http://schemas.openxmlformats.org/officeDocument/2006/relationships/comments" Target="../comments3.xml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4.vml"/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Relationship Id="rId4" Type="http://schemas.openxmlformats.org/officeDocument/2006/relationships/comments" Target="../comments4.xml"/></Relationships>
</file>

<file path=xl/worksheets/_rels/sheet6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5.vml"/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Relationship Id="rId4" Type="http://schemas.openxmlformats.org/officeDocument/2006/relationships/comments" Target="../comments5.xml"/></Relationships>
</file>

<file path=xl/worksheets/_rels/sheet7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6.vml"/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Relationship Id="rId4" Type="http://schemas.openxmlformats.org/officeDocument/2006/relationships/comments" Target="../comments6.xml"/></Relationships>
</file>

<file path=xl/worksheets/_rels/sheet8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7.vml"/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Relationship Id="rId4" Type="http://schemas.openxmlformats.org/officeDocument/2006/relationships/comments" Target="../comments7.xml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1.xml"/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2.xml"/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3.xml"/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4.xml"/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5.xml"/><Relationship Id="rId1" Type="http://schemas.openxmlformats.org/officeDocument/2006/relationships/printerSettings" Target="../printerSettings/printerSettings1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41"/>
  <sheetViews>
    <sheetView tabSelected="1" zoomScale="75" workbookViewId="0">
      <selection activeCell="H58" sqref="H58"/>
    </sheetView>
  </sheetViews>
  <sheetFormatPr defaultRowHeight="12.75" x14ac:dyDescent="0.2"/>
  <cols>
    <col min="1" max="1" width="2.7109375" style="1" customWidth="1"/>
    <col min="2" max="2" width="8.140625" style="1" customWidth="1"/>
    <col min="3" max="3" width="6.85546875" style="1" customWidth="1"/>
    <col min="4" max="4" width="1.7109375" style="1" customWidth="1"/>
    <col min="5" max="5" width="10.140625" style="1" bestFit="1" customWidth="1"/>
    <col min="6" max="7" width="9.140625" style="1"/>
    <col min="8" max="8" width="10.140625" style="1" bestFit="1" customWidth="1"/>
    <col min="9" max="16384" width="9.140625" style="1"/>
  </cols>
  <sheetData>
    <row r="1" spans="1:17" ht="13.5" thickBot="1" x14ac:dyDescent="0.25">
      <c r="B1" s="2" t="s">
        <v>82</v>
      </c>
      <c r="C1" s="2"/>
      <c r="D1" s="2"/>
      <c r="E1" s="2"/>
      <c r="F1" s="2"/>
      <c r="G1" s="2"/>
      <c r="H1" s="2"/>
      <c r="I1" s="2"/>
      <c r="J1" s="2"/>
      <c r="K1" s="2"/>
      <c r="L1" s="22" t="s">
        <v>81</v>
      </c>
      <c r="N1" s="21">
        <f>N21</f>
        <v>35.447268352288489</v>
      </c>
      <c r="O1" s="16" t="s">
        <v>316</v>
      </c>
      <c r="P1" s="107"/>
    </row>
    <row r="2" spans="1:17" ht="30" x14ac:dyDescent="0.4">
      <c r="B2" s="2"/>
      <c r="C2" s="2"/>
      <c r="D2" s="2"/>
      <c r="E2" s="2"/>
      <c r="F2" s="106" t="s">
        <v>324</v>
      </c>
      <c r="G2" s="2"/>
      <c r="H2" s="2"/>
      <c r="I2" s="2"/>
      <c r="J2" s="2"/>
      <c r="K2" s="2"/>
      <c r="L2" s="24">
        <f>SUM(P2:P39)/12</f>
        <v>21.495145631067967</v>
      </c>
      <c r="M2" s="23" t="s">
        <v>21</v>
      </c>
      <c r="N2" s="105"/>
      <c r="O2" s="104"/>
      <c r="P2" s="14">
        <f>J16</f>
        <v>20.471567267683774</v>
      </c>
    </row>
    <row r="3" spans="1:17" ht="13.5" thickBot="1" x14ac:dyDescent="0.25">
      <c r="B3" s="2"/>
      <c r="C3" s="2" t="s">
        <v>11</v>
      </c>
      <c r="D3" s="2"/>
      <c r="E3" s="2"/>
      <c r="F3" s="26"/>
      <c r="G3" s="2"/>
      <c r="H3" s="2"/>
      <c r="I3" s="19" t="s">
        <v>11</v>
      </c>
      <c r="J3" s="2"/>
      <c r="K3" s="2"/>
      <c r="L3" s="24">
        <f>SUM(P2:P39)</f>
        <v>257.94174757281559</v>
      </c>
      <c r="M3" s="23" t="s">
        <v>19</v>
      </c>
      <c r="N3" s="11">
        <f>N21</f>
        <v>35.447268352288489</v>
      </c>
      <c r="O3" s="16" t="s">
        <v>80</v>
      </c>
      <c r="P3" s="103"/>
      <c r="Q3" s="15"/>
    </row>
    <row r="4" spans="1:17" ht="12.75" customHeight="1" x14ac:dyDescent="0.2">
      <c r="B4" s="2" t="s">
        <v>11</v>
      </c>
      <c r="C4" s="2" t="s">
        <v>11</v>
      </c>
      <c r="D4" s="2"/>
      <c r="E4" s="102" t="s">
        <v>79</v>
      </c>
      <c r="F4" s="26"/>
      <c r="G4" s="26"/>
      <c r="H4" s="2"/>
      <c r="I4" s="2"/>
      <c r="J4" s="2"/>
      <c r="K4" s="2"/>
      <c r="L4" s="53" t="s">
        <v>11</v>
      </c>
      <c r="M4" s="52" t="s">
        <v>11</v>
      </c>
      <c r="N4" s="11"/>
      <c r="O4" s="15"/>
      <c r="P4" s="101">
        <f>J16</f>
        <v>20.471567267683774</v>
      </c>
      <c r="Q4" s="8"/>
    </row>
    <row r="5" spans="1:17" ht="12.75" customHeight="1" x14ac:dyDescent="0.2">
      <c r="B5" s="100" t="s">
        <v>11</v>
      </c>
      <c r="C5" s="2"/>
      <c r="D5" s="2"/>
      <c r="E5" s="2"/>
      <c r="F5" s="44" t="s">
        <v>11</v>
      </c>
      <c r="G5" s="43"/>
      <c r="H5" s="2"/>
      <c r="I5" s="100" t="s">
        <v>11</v>
      </c>
      <c r="J5" s="2"/>
      <c r="K5" s="2"/>
      <c r="N5" s="11"/>
      <c r="O5" s="15"/>
      <c r="P5" s="14" t="s">
        <v>5</v>
      </c>
      <c r="Q5" s="8"/>
    </row>
    <row r="6" spans="1:17" ht="13.5" thickBot="1" x14ac:dyDescent="0.25">
      <c r="A6" s="99" t="s">
        <v>78</v>
      </c>
      <c r="B6" s="99"/>
      <c r="C6" s="50"/>
      <c r="D6" s="81"/>
      <c r="H6" s="43"/>
      <c r="I6" s="90" t="s">
        <v>77</v>
      </c>
      <c r="J6" s="2"/>
      <c r="K6" s="2"/>
      <c r="L6" s="26" t="s">
        <v>76</v>
      </c>
      <c r="N6" s="11">
        <f>N21</f>
        <v>35.447268352288489</v>
      </c>
      <c r="O6" s="16" t="s">
        <v>75</v>
      </c>
      <c r="P6" s="9"/>
      <c r="Q6" s="8"/>
    </row>
    <row r="7" spans="1:17" ht="14.25" thickTop="1" thickBot="1" x14ac:dyDescent="0.25">
      <c r="A7" s="62"/>
      <c r="B7" s="99" t="s">
        <v>74</v>
      </c>
      <c r="C7" s="50"/>
      <c r="D7" s="81"/>
      <c r="H7" s="98"/>
      <c r="I7" s="84" t="s">
        <v>61</v>
      </c>
      <c r="J7" s="97" t="s">
        <v>60</v>
      </c>
      <c r="K7" s="2"/>
      <c r="L7" s="24">
        <f>SUM(P7:P39)/12</f>
        <v>18.083217753120671</v>
      </c>
      <c r="M7" s="23" t="s">
        <v>21</v>
      </c>
      <c r="N7" s="11"/>
      <c r="O7" s="15"/>
      <c r="P7" s="14">
        <f>J16</f>
        <v>20.471567267683774</v>
      </c>
      <c r="Q7" s="8"/>
    </row>
    <row r="8" spans="1:17" ht="13.5" thickBot="1" x14ac:dyDescent="0.25">
      <c r="A8" s="62"/>
      <c r="B8" s="88">
        <v>144.19999999999999</v>
      </c>
      <c r="C8" s="96" t="s">
        <v>73</v>
      </c>
      <c r="D8" s="41"/>
      <c r="H8" s="80" t="s">
        <v>57</v>
      </c>
      <c r="I8" s="71">
        <f>984/B8</f>
        <v>6.8238557558945914</v>
      </c>
      <c r="J8" s="70">
        <f t="shared" ref="J8:J21" si="0">12*I8</f>
        <v>81.886269070735096</v>
      </c>
      <c r="K8" s="43"/>
      <c r="L8" s="24">
        <f>SUM(P7:P39)</f>
        <v>216.99861303744805</v>
      </c>
      <c r="M8" s="23" t="s">
        <v>19</v>
      </c>
      <c r="N8" s="11" t="s">
        <v>11</v>
      </c>
      <c r="O8" s="15"/>
      <c r="P8" s="14" t="s">
        <v>5</v>
      </c>
      <c r="Q8" s="8"/>
    </row>
    <row r="9" spans="1:17" ht="13.5" thickBot="1" x14ac:dyDescent="0.25">
      <c r="A9" s="62"/>
      <c r="B9" s="95" t="s">
        <v>11</v>
      </c>
      <c r="C9" s="50"/>
      <c r="D9" s="81"/>
      <c r="H9" s="75" t="s">
        <v>54</v>
      </c>
      <c r="I9" s="71">
        <f>3*I12</f>
        <v>5.1178918169209435</v>
      </c>
      <c r="J9" s="70">
        <f t="shared" si="0"/>
        <v>61.414701803051322</v>
      </c>
      <c r="K9" s="43"/>
      <c r="L9" s="26" t="s">
        <v>11</v>
      </c>
      <c r="N9" s="11">
        <f>N21</f>
        <v>35.447268352288489</v>
      </c>
      <c r="O9" s="16" t="s">
        <v>72</v>
      </c>
      <c r="P9" s="9"/>
      <c r="Q9" s="8"/>
    </row>
    <row r="10" spans="1:17" x14ac:dyDescent="0.2">
      <c r="A10" s="92" t="s">
        <v>71</v>
      </c>
      <c r="B10" s="92"/>
      <c r="C10" s="50"/>
      <c r="D10" s="81"/>
      <c r="H10" s="75" t="s">
        <v>52</v>
      </c>
      <c r="I10" s="71">
        <f>5*I13</f>
        <v>4.2649098474341196</v>
      </c>
      <c r="J10" s="70">
        <f t="shared" si="0"/>
        <v>51.178918169209439</v>
      </c>
      <c r="K10" s="43"/>
      <c r="L10" s="53" t="s">
        <v>11</v>
      </c>
      <c r="M10" s="52" t="s">
        <v>11</v>
      </c>
      <c r="N10" s="11"/>
      <c r="O10" s="15"/>
      <c r="P10" s="14">
        <f>J16</f>
        <v>20.471567267683774</v>
      </c>
      <c r="Q10" s="8"/>
    </row>
    <row r="11" spans="1:17" x14ac:dyDescent="0.2">
      <c r="A11" s="62"/>
      <c r="B11" s="94" t="s">
        <v>70</v>
      </c>
      <c r="C11" s="50"/>
      <c r="D11" s="81"/>
      <c r="H11" s="68" t="s">
        <v>69</v>
      </c>
      <c r="I11" s="93">
        <f>I8/2</f>
        <v>3.4119278779472957</v>
      </c>
      <c r="J11" s="66">
        <f t="shared" si="0"/>
        <v>40.943134535367548</v>
      </c>
      <c r="K11" s="43" t="s">
        <v>11</v>
      </c>
      <c r="N11" s="11"/>
      <c r="O11" s="15"/>
      <c r="P11" s="14" t="s">
        <v>5</v>
      </c>
      <c r="Q11" s="8"/>
    </row>
    <row r="12" spans="1:17" ht="13.5" thickBot="1" x14ac:dyDescent="0.25">
      <c r="A12" s="62"/>
      <c r="B12" s="92" t="s">
        <v>68</v>
      </c>
      <c r="C12" s="50"/>
      <c r="D12" s="81"/>
      <c r="H12" s="75" t="s">
        <v>44</v>
      </c>
      <c r="I12" s="71">
        <f>I11/2</f>
        <v>1.7059639389736478</v>
      </c>
      <c r="J12" s="70">
        <f t="shared" si="0"/>
        <v>20.471567267683774</v>
      </c>
      <c r="K12" s="43" t="s">
        <v>11</v>
      </c>
      <c r="L12" s="26" t="s">
        <v>67</v>
      </c>
      <c r="N12" s="11">
        <f>N21</f>
        <v>35.447268352288489</v>
      </c>
      <c r="O12" s="16" t="s">
        <v>66</v>
      </c>
      <c r="P12" s="9"/>
      <c r="Q12" s="8"/>
    </row>
    <row r="13" spans="1:17" ht="13.5" thickBot="1" x14ac:dyDescent="0.25">
      <c r="A13" s="62"/>
      <c r="B13" s="88">
        <v>0.93500000000000005</v>
      </c>
      <c r="C13" s="87" t="s">
        <v>62</v>
      </c>
      <c r="D13" s="81"/>
      <c r="H13" s="68" t="s">
        <v>65</v>
      </c>
      <c r="I13" s="67">
        <f>I12/2</f>
        <v>0.85298196948682392</v>
      </c>
      <c r="J13" s="76">
        <f t="shared" si="0"/>
        <v>10.235783633841887</v>
      </c>
      <c r="K13" s="43"/>
      <c r="L13" s="24">
        <f>SUM(P13:P39)/12</f>
        <v>14.671289875173374</v>
      </c>
      <c r="M13" s="23" t="s">
        <v>21</v>
      </c>
      <c r="N13" s="11"/>
      <c r="O13" s="15"/>
      <c r="P13" s="14">
        <f>J16</f>
        <v>20.471567267683774</v>
      </c>
      <c r="Q13" s="8"/>
    </row>
    <row r="14" spans="1:17" ht="13.5" thickBot="1" x14ac:dyDescent="0.25">
      <c r="A14" s="62"/>
      <c r="B14" s="91" t="s">
        <v>64</v>
      </c>
      <c r="C14" s="50"/>
      <c r="D14" s="81"/>
      <c r="E14" s="26"/>
      <c r="F14" s="90" t="s">
        <v>63</v>
      </c>
      <c r="G14" s="89"/>
      <c r="H14" s="72">
        <v>0.5</v>
      </c>
      <c r="I14" s="71">
        <f>I8/2</f>
        <v>3.4119278779472957</v>
      </c>
      <c r="J14" s="70">
        <f t="shared" si="0"/>
        <v>40.943134535367548</v>
      </c>
      <c r="K14" s="2"/>
      <c r="L14" s="24">
        <f>SUM(P13:P39)</f>
        <v>176.05547850208049</v>
      </c>
      <c r="M14" s="23" t="s">
        <v>19</v>
      </c>
      <c r="N14" s="11"/>
      <c r="O14" s="15"/>
      <c r="P14" s="14" t="s">
        <v>5</v>
      </c>
      <c r="Q14" s="8"/>
    </row>
    <row r="15" spans="1:17" ht="14.25" thickTop="1" thickBot="1" x14ac:dyDescent="0.25">
      <c r="A15" s="62"/>
      <c r="B15" s="88">
        <v>0.93500000000000005</v>
      </c>
      <c r="C15" s="87" t="s">
        <v>62</v>
      </c>
      <c r="D15" s="86"/>
      <c r="E15" s="85" t="s">
        <v>11</v>
      </c>
      <c r="F15" s="84" t="s">
        <v>61</v>
      </c>
      <c r="G15" s="83" t="s">
        <v>60</v>
      </c>
      <c r="H15" s="72">
        <v>0.3</v>
      </c>
      <c r="I15" s="71">
        <f>0.3*I8</f>
        <v>2.0471567267683772</v>
      </c>
      <c r="J15" s="70">
        <f t="shared" si="0"/>
        <v>24.565880721220527</v>
      </c>
      <c r="K15" s="2"/>
      <c r="L15" s="26" t="s">
        <v>11</v>
      </c>
      <c r="N15" s="11">
        <f>N21</f>
        <v>35.447268352288489</v>
      </c>
      <c r="O15" s="16" t="s">
        <v>59</v>
      </c>
      <c r="P15" s="9"/>
      <c r="Q15" s="8"/>
    </row>
    <row r="16" spans="1:17" x14ac:dyDescent="0.2">
      <c r="A16" s="62"/>
      <c r="B16" s="82" t="s">
        <v>58</v>
      </c>
      <c r="C16" s="50"/>
      <c r="D16" s="81"/>
      <c r="E16" s="80" t="s">
        <v>57</v>
      </c>
      <c r="F16" s="71">
        <f>11810*B15/B8/12</f>
        <v>6.3813858067498854</v>
      </c>
      <c r="G16" s="70">
        <f>11810*B15/B8</f>
        <v>76.576629680998622</v>
      </c>
      <c r="H16" s="72">
        <v>0.25</v>
      </c>
      <c r="I16" s="71">
        <f>0.25*I8</f>
        <v>1.7059639389736478</v>
      </c>
      <c r="J16" s="70">
        <f t="shared" si="0"/>
        <v>20.471567267683774</v>
      </c>
      <c r="K16" s="2"/>
      <c r="L16" s="53" t="s">
        <v>11</v>
      </c>
      <c r="M16" s="52" t="s">
        <v>11</v>
      </c>
      <c r="N16" s="11"/>
      <c r="O16" s="15"/>
      <c r="P16" s="14">
        <f>J16</f>
        <v>20.471567267683774</v>
      </c>
      <c r="Q16" s="8"/>
    </row>
    <row r="17" spans="1:17" x14ac:dyDescent="0.2">
      <c r="A17" s="62"/>
      <c r="B17" s="61" t="s">
        <v>56</v>
      </c>
      <c r="C17" s="79" t="s">
        <v>55</v>
      </c>
      <c r="D17" s="78"/>
      <c r="E17" s="75" t="s">
        <v>54</v>
      </c>
      <c r="F17" s="71">
        <f>F21+F19</f>
        <v>4.7860393550624138</v>
      </c>
      <c r="G17" s="70">
        <f>G21+G19</f>
        <v>55.900939667128995</v>
      </c>
      <c r="H17" s="77">
        <v>0.2</v>
      </c>
      <c r="I17" s="67">
        <f>0.2*I8</f>
        <v>1.3647711511789185</v>
      </c>
      <c r="J17" s="76">
        <f t="shared" si="0"/>
        <v>16.377253814147021</v>
      </c>
      <c r="K17" s="2"/>
      <c r="N17" s="11"/>
      <c r="O17" s="15"/>
      <c r="P17" s="14" t="s">
        <v>5</v>
      </c>
      <c r="Q17" s="8"/>
    </row>
    <row r="18" spans="1:17" ht="13.5" thickBot="1" x14ac:dyDescent="0.25">
      <c r="A18" s="62"/>
      <c r="B18" s="69" t="s">
        <v>53</v>
      </c>
      <c r="C18" s="60">
        <v>0.92</v>
      </c>
      <c r="D18" s="59"/>
      <c r="E18" s="75" t="s">
        <v>52</v>
      </c>
      <c r="F18" s="71">
        <f>F21/2*5</f>
        <v>3.9883661292186785</v>
      </c>
      <c r="G18" s="70">
        <f>G21/2*5</f>
        <v>47.860393550624138</v>
      </c>
      <c r="H18" s="72">
        <v>0.15</v>
      </c>
      <c r="I18" s="71">
        <f>0.15*I8</f>
        <v>1.0235783633841886</v>
      </c>
      <c r="J18" s="70">
        <f t="shared" si="0"/>
        <v>12.282940360610263</v>
      </c>
      <c r="K18" s="2" t="s">
        <v>11</v>
      </c>
      <c r="L18" s="26" t="s">
        <v>51</v>
      </c>
      <c r="N18" s="11">
        <f>N21</f>
        <v>35.447268352288489</v>
      </c>
      <c r="O18" s="16" t="s">
        <v>50</v>
      </c>
      <c r="P18" s="9"/>
      <c r="Q18" s="8"/>
    </row>
    <row r="19" spans="1:17" x14ac:dyDescent="0.2">
      <c r="A19" s="62"/>
      <c r="B19" s="74" t="s">
        <v>49</v>
      </c>
      <c r="C19" s="60">
        <v>0.93500000000000005</v>
      </c>
      <c r="D19" s="59"/>
      <c r="E19" s="68" t="s">
        <v>48</v>
      </c>
      <c r="F19" s="73">
        <f>F16/2</f>
        <v>3.1906929033749427</v>
      </c>
      <c r="G19" s="66">
        <f>11810*B15/B8/2-G24</f>
        <v>36.756782246879339</v>
      </c>
      <c r="H19" s="72">
        <v>0.1</v>
      </c>
      <c r="I19" s="71">
        <f>0.1*I8</f>
        <v>0.68238557558945923</v>
      </c>
      <c r="J19" s="70">
        <f t="shared" si="0"/>
        <v>8.1886269070735107</v>
      </c>
      <c r="K19" s="2"/>
      <c r="L19" s="24">
        <f>SUM(P19:P39)/12</f>
        <v>11.259361997226078</v>
      </c>
      <c r="M19" s="23" t="s">
        <v>21</v>
      </c>
      <c r="N19" s="11"/>
      <c r="O19" s="15"/>
      <c r="P19" s="14">
        <f>J16</f>
        <v>20.471567267683774</v>
      </c>
      <c r="Q19" s="8"/>
    </row>
    <row r="20" spans="1:17" x14ac:dyDescent="0.2">
      <c r="A20" s="62"/>
      <c r="B20" s="69" t="s">
        <v>47</v>
      </c>
      <c r="C20" s="60">
        <v>0.94499999999999995</v>
      </c>
      <c r="D20" s="59"/>
      <c r="E20" s="68" t="s">
        <v>46</v>
      </c>
      <c r="F20" s="67" t="s">
        <v>11</v>
      </c>
      <c r="G20" s="66">
        <f>11810*B13/B8/2</f>
        <v>38.288314840499311</v>
      </c>
      <c r="H20" s="65">
        <v>0.08</v>
      </c>
      <c r="I20" s="64">
        <f>0.08*I8</f>
        <v>0.54590846047156727</v>
      </c>
      <c r="J20" s="63">
        <f t="shared" si="0"/>
        <v>6.5509015256588068</v>
      </c>
      <c r="K20" s="2"/>
      <c r="L20" s="24">
        <f>SUM(P19:P39)</f>
        <v>135.11234396671293</v>
      </c>
      <c r="M20" s="23" t="s">
        <v>19</v>
      </c>
      <c r="N20" s="11"/>
      <c r="O20" s="15"/>
      <c r="P20" s="14" t="s">
        <v>5</v>
      </c>
      <c r="Q20" s="8"/>
    </row>
    <row r="21" spans="1:17" ht="13.5" thickBot="1" x14ac:dyDescent="0.25">
      <c r="A21" s="62"/>
      <c r="B21" s="61" t="s">
        <v>45</v>
      </c>
      <c r="C21" s="60">
        <v>0.95</v>
      </c>
      <c r="D21" s="59"/>
      <c r="E21" s="58" t="s">
        <v>44</v>
      </c>
      <c r="F21" s="55">
        <f>F16/4</f>
        <v>1.5953464516874714</v>
      </c>
      <c r="G21" s="55">
        <f>G16/4</f>
        <v>19.144157420249655</v>
      </c>
      <c r="H21" s="57">
        <v>7.0000000000000007E-2</v>
      </c>
      <c r="I21" s="56">
        <f>0.07*I8</f>
        <v>0.47766990291262146</v>
      </c>
      <c r="J21" s="55">
        <f t="shared" si="0"/>
        <v>5.7320388349514575</v>
      </c>
      <c r="K21" s="54"/>
      <c r="L21" s="53" t="s">
        <v>11</v>
      </c>
      <c r="M21" s="52" t="s">
        <v>11</v>
      </c>
      <c r="N21" s="11">
        <f>N24</f>
        <v>35.447268352288489</v>
      </c>
      <c r="O21" s="16" t="s">
        <v>43</v>
      </c>
      <c r="P21" s="9"/>
      <c r="Q21" s="8" t="s">
        <v>11</v>
      </c>
    </row>
    <row r="22" spans="1:17" ht="13.5" thickTop="1" x14ac:dyDescent="0.2">
      <c r="A22" s="51" t="s">
        <v>42</v>
      </c>
      <c r="B22" s="51"/>
      <c r="C22" s="50"/>
      <c r="D22" s="50"/>
      <c r="E22" s="49"/>
      <c r="F22" s="48" t="s">
        <v>41</v>
      </c>
      <c r="G22" s="47"/>
      <c r="H22" s="2"/>
      <c r="I22" s="2"/>
      <c r="J22" s="2"/>
      <c r="K22" s="2"/>
      <c r="N22" s="11"/>
      <c r="O22" s="15"/>
      <c r="P22" s="14">
        <f>J16</f>
        <v>20.471567267683774</v>
      </c>
      <c r="Q22" s="8"/>
    </row>
    <row r="23" spans="1:17" x14ac:dyDescent="0.2">
      <c r="B23" s="3" t="s">
        <v>40</v>
      </c>
      <c r="C23" s="3"/>
      <c r="D23" s="3"/>
      <c r="G23" s="2"/>
      <c r="H23" s="2"/>
      <c r="I23" s="2"/>
      <c r="J23" s="2"/>
      <c r="K23" s="2"/>
      <c r="N23" s="11"/>
      <c r="O23" s="15"/>
      <c r="P23" s="14" t="s">
        <v>5</v>
      </c>
      <c r="Q23" s="8"/>
    </row>
    <row r="24" spans="1:17" ht="13.5" thickBot="1" x14ac:dyDescent="0.25">
      <c r="B24" s="3" t="s">
        <v>39</v>
      </c>
      <c r="G24" s="46">
        <f>11810*B15/B8/2*0.04</f>
        <v>1.5315325936199724</v>
      </c>
      <c r="J24" s="2"/>
      <c r="K24" s="5" t="s">
        <v>11</v>
      </c>
      <c r="L24" s="26" t="s">
        <v>38</v>
      </c>
      <c r="N24" s="11">
        <f>M28-0.6</f>
        <v>35.447268352288489</v>
      </c>
      <c r="O24" s="16" t="s">
        <v>37</v>
      </c>
      <c r="P24" s="9"/>
      <c r="Q24" s="25">
        <f>SUM(P25:P28)</f>
        <v>40.943134535367548</v>
      </c>
    </row>
    <row r="25" spans="1:17" x14ac:dyDescent="0.2">
      <c r="B25" s="2"/>
      <c r="C25" s="2"/>
      <c r="D25" s="2"/>
      <c r="E25" s="2"/>
      <c r="F25" s="2" t="s">
        <v>11</v>
      </c>
      <c r="G25" s="2"/>
      <c r="H25" s="2"/>
      <c r="I25" s="2"/>
      <c r="J25" s="2"/>
      <c r="K25" s="2"/>
      <c r="L25" s="24">
        <f>SUM(P25:P38)/12</f>
        <v>7.8474341192787813</v>
      </c>
      <c r="M25" s="23" t="s">
        <v>21</v>
      </c>
      <c r="N25" s="21"/>
      <c r="O25" s="15"/>
      <c r="P25" s="14">
        <f>J16</f>
        <v>20.471567267683774</v>
      </c>
      <c r="Q25" s="8"/>
    </row>
    <row r="26" spans="1:17" x14ac:dyDescent="0.2">
      <c r="B26" s="2" t="s">
        <v>11</v>
      </c>
      <c r="C26" s="2"/>
      <c r="D26" s="2"/>
      <c r="E26" s="45" t="s">
        <v>36</v>
      </c>
      <c r="F26" s="44" t="s">
        <v>35</v>
      </c>
      <c r="G26" s="43"/>
      <c r="H26" s="43"/>
      <c r="I26" s="42">
        <f>B8</f>
        <v>144.19999999999999</v>
      </c>
      <c r="J26" s="41" t="s">
        <v>34</v>
      </c>
      <c r="K26" s="2"/>
      <c r="L26" s="24">
        <f>SUM(P25:P38)</f>
        <v>94.169209431345379</v>
      </c>
      <c r="M26" s="23" t="s">
        <v>19</v>
      </c>
      <c r="N26" s="21"/>
      <c r="O26" s="15"/>
      <c r="P26" s="14" t="s">
        <v>5</v>
      </c>
      <c r="Q26" s="8"/>
    </row>
    <row r="27" spans="1:17" ht="13.5" thickBot="1" x14ac:dyDescent="0.25">
      <c r="B27" s="2"/>
      <c r="C27" s="2"/>
      <c r="D27" s="2"/>
      <c r="E27" s="40"/>
      <c r="F27" s="17" t="s">
        <v>33</v>
      </c>
      <c r="G27" s="39">
        <f>SUM(G30:K30)/12</f>
        <v>4.4355062413314847</v>
      </c>
      <c r="H27" s="38" t="s">
        <v>32</v>
      </c>
      <c r="I27" s="37">
        <f>SUM(G30:K30)</f>
        <v>53.226074895977817</v>
      </c>
      <c r="J27" s="36" t="s">
        <v>31</v>
      </c>
      <c r="K27" s="35"/>
      <c r="L27" s="34"/>
      <c r="M27" s="33"/>
      <c r="N27" s="21">
        <f>M28</f>
        <v>36.047268352288491</v>
      </c>
      <c r="O27" s="16" t="s">
        <v>30</v>
      </c>
      <c r="P27" s="9"/>
      <c r="Q27" s="8" t="s">
        <v>11</v>
      </c>
    </row>
    <row r="28" spans="1:17" x14ac:dyDescent="0.2">
      <c r="B28" s="2" t="s">
        <v>11</v>
      </c>
      <c r="C28" s="2"/>
      <c r="D28" s="2"/>
      <c r="E28" s="2"/>
      <c r="F28" s="17" t="s">
        <v>29</v>
      </c>
      <c r="G28" s="27">
        <f>0.05*G20+G20</f>
        <v>40.202730582524275</v>
      </c>
      <c r="H28" s="32">
        <f>G20</f>
        <v>38.288314840499311</v>
      </c>
      <c r="I28" s="11">
        <f>G19</f>
        <v>36.756782246879339</v>
      </c>
      <c r="J28" s="11">
        <f>-0.005*I28+I28</f>
        <v>36.57299833564494</v>
      </c>
      <c r="K28" s="11">
        <f>-0.01*J28+J28</f>
        <v>36.207268352288487</v>
      </c>
      <c r="L28" s="21"/>
      <c r="M28" s="31">
        <f>K28-0.16</f>
        <v>36.047268352288491</v>
      </c>
      <c r="N28" s="21"/>
      <c r="O28" s="15"/>
      <c r="P28" s="14">
        <f>J16</f>
        <v>20.471567267683774</v>
      </c>
      <c r="Q28" s="8"/>
    </row>
    <row r="29" spans="1:17" ht="13.5" thickBot="1" x14ac:dyDescent="0.25">
      <c r="B29" s="2"/>
      <c r="C29" s="2"/>
      <c r="D29" s="2"/>
      <c r="E29" s="2"/>
      <c r="F29" s="2"/>
      <c r="G29" s="30" t="s">
        <v>28</v>
      </c>
      <c r="H29" s="30" t="s">
        <v>27</v>
      </c>
      <c r="I29" s="29" t="s">
        <v>26</v>
      </c>
      <c r="J29" s="29" t="s">
        <v>25</v>
      </c>
      <c r="N29" s="21"/>
      <c r="O29" s="15"/>
      <c r="P29" s="14" t="s">
        <v>5</v>
      </c>
      <c r="Q29" s="8"/>
    </row>
    <row r="30" spans="1:17" ht="14.25" thickTop="1" thickBot="1" x14ac:dyDescent="0.25">
      <c r="B30" s="2"/>
      <c r="C30" s="2"/>
      <c r="D30" s="2"/>
      <c r="E30" s="2"/>
      <c r="F30" s="17" t="s">
        <v>24</v>
      </c>
      <c r="G30" s="28">
        <f>J18</f>
        <v>12.282940360610263</v>
      </c>
      <c r="H30" s="28">
        <f>J19</f>
        <v>8.1886269070735107</v>
      </c>
      <c r="I30" s="28">
        <f>J17</f>
        <v>16.377253814147021</v>
      </c>
      <c r="J30" s="27">
        <f>J17</f>
        <v>16.377253814147021</v>
      </c>
      <c r="L30" s="26" t="s">
        <v>23</v>
      </c>
      <c r="N30" s="21">
        <f>K28</f>
        <v>36.207268352288487</v>
      </c>
      <c r="O30" s="16" t="s">
        <v>22</v>
      </c>
      <c r="P30" s="9"/>
      <c r="Q30" s="25">
        <f>SUM(P31:P36)</f>
        <v>40.943134535367555</v>
      </c>
    </row>
    <row r="31" spans="1:17" x14ac:dyDescent="0.2">
      <c r="B31" s="2"/>
      <c r="C31" s="2"/>
      <c r="D31" s="2"/>
      <c r="E31" s="2"/>
      <c r="F31" s="2"/>
      <c r="G31" s="2"/>
      <c r="H31" s="2"/>
      <c r="I31" s="2"/>
      <c r="J31" s="2"/>
      <c r="K31" s="2" t="s">
        <v>11</v>
      </c>
      <c r="L31" s="24">
        <f>SUM(P31:P39)/12</f>
        <v>4.4355062413314847</v>
      </c>
      <c r="M31" s="23" t="s">
        <v>21</v>
      </c>
      <c r="N31" s="21"/>
      <c r="O31" s="15"/>
      <c r="P31" s="14">
        <f>J30</f>
        <v>16.377253814147021</v>
      </c>
      <c r="Q31" s="8"/>
    </row>
    <row r="32" spans="1:17" x14ac:dyDescent="0.2">
      <c r="B32" s="3" t="s">
        <v>20</v>
      </c>
      <c r="L32" s="24">
        <f>SUM(P31:P39)</f>
        <v>53.226074895977817</v>
      </c>
      <c r="M32" s="23" t="s">
        <v>19</v>
      </c>
      <c r="N32" s="21"/>
      <c r="O32" s="15"/>
      <c r="P32" s="14" t="s">
        <v>5</v>
      </c>
      <c r="Q32" s="8"/>
    </row>
    <row r="33" spans="2:17" ht="13.5" thickBot="1" x14ac:dyDescent="0.25">
      <c r="B33" s="2"/>
      <c r="C33" s="3" t="s">
        <v>18</v>
      </c>
      <c r="D33" s="3"/>
      <c r="E33" s="19"/>
      <c r="F33" s="2"/>
      <c r="G33" s="2"/>
      <c r="H33" s="2"/>
      <c r="I33" s="2"/>
      <c r="J33" s="2"/>
      <c r="K33" s="2"/>
      <c r="N33" s="21">
        <f>J28</f>
        <v>36.57299833564494</v>
      </c>
      <c r="O33" s="16" t="s">
        <v>17</v>
      </c>
      <c r="P33" s="9"/>
      <c r="Q33" s="8"/>
    </row>
    <row r="34" spans="2:17" x14ac:dyDescent="0.2">
      <c r="B34" s="2"/>
      <c r="C34" s="2"/>
      <c r="D34" s="2"/>
      <c r="E34" s="2"/>
      <c r="F34" s="2"/>
      <c r="G34" s="2"/>
      <c r="H34" s="2"/>
      <c r="I34" s="2"/>
      <c r="J34" s="2"/>
      <c r="K34" s="2"/>
      <c r="N34" s="21"/>
      <c r="O34" s="15"/>
      <c r="P34" s="14">
        <f>I30</f>
        <v>16.377253814147021</v>
      </c>
      <c r="Q34" s="8"/>
    </row>
    <row r="35" spans="2:17" ht="13.5" thickBot="1" x14ac:dyDescent="0.25">
      <c r="B35" s="2"/>
      <c r="C35" s="2"/>
      <c r="D35" s="2"/>
      <c r="E35" s="22" t="s">
        <v>16</v>
      </c>
      <c r="F35" s="2"/>
      <c r="G35" s="2"/>
      <c r="H35" s="2"/>
      <c r="I35" s="2"/>
      <c r="J35" s="2"/>
      <c r="K35" s="2"/>
      <c r="N35" s="21">
        <f>I28</f>
        <v>36.756782246879339</v>
      </c>
      <c r="O35" s="16" t="s">
        <v>15</v>
      </c>
      <c r="P35" s="9" t="s">
        <v>5</v>
      </c>
      <c r="Q35" s="8"/>
    </row>
    <row r="36" spans="2:17" ht="13.5" thickBot="1" x14ac:dyDescent="0.25">
      <c r="B36" s="2"/>
      <c r="C36" s="2"/>
      <c r="D36" s="2"/>
      <c r="E36" s="2"/>
      <c r="F36" s="2"/>
      <c r="G36" s="2"/>
      <c r="H36" s="2"/>
      <c r="I36" s="20">
        <f>H28</f>
        <v>38.288314840499311</v>
      </c>
      <c r="J36" s="2" t="s">
        <v>14</v>
      </c>
      <c r="K36" s="2"/>
      <c r="L36" s="1" t="s">
        <v>11</v>
      </c>
      <c r="N36" s="11"/>
      <c r="O36" s="15"/>
      <c r="P36" s="14">
        <f>H30</f>
        <v>8.1886269070735107</v>
      </c>
      <c r="Q36" s="8"/>
    </row>
    <row r="37" spans="2:17" ht="14.25" thickTop="1" thickBot="1" x14ac:dyDescent="0.25">
      <c r="B37" s="2"/>
      <c r="C37" s="7" t="s">
        <v>4</v>
      </c>
      <c r="D37" s="7"/>
      <c r="E37" s="19" t="s">
        <v>13</v>
      </c>
      <c r="F37" s="18" t="s">
        <v>12</v>
      </c>
      <c r="G37" s="18"/>
      <c r="H37" s="18"/>
      <c r="I37" s="18" t="s">
        <v>11</v>
      </c>
      <c r="J37" s="18"/>
      <c r="K37" s="17" t="s">
        <v>11</v>
      </c>
      <c r="L37" s="1" t="s">
        <v>11</v>
      </c>
      <c r="N37" s="11">
        <f>G20</f>
        <v>38.288314840499311</v>
      </c>
      <c r="O37" s="16" t="s">
        <v>10</v>
      </c>
      <c r="P37" s="9" t="s">
        <v>5</v>
      </c>
      <c r="Q37" s="8"/>
    </row>
    <row r="38" spans="2:17" x14ac:dyDescent="0.2">
      <c r="B38" s="2"/>
      <c r="C38" s="2"/>
      <c r="D38" s="2"/>
      <c r="E38" s="2" t="s">
        <v>9</v>
      </c>
      <c r="F38" s="2"/>
      <c r="G38" s="12">
        <f>0.009*G16</f>
        <v>0.68918966712898755</v>
      </c>
      <c r="H38" s="2"/>
      <c r="I38" s="7" t="s">
        <v>8</v>
      </c>
      <c r="J38" s="2"/>
      <c r="K38" s="2"/>
      <c r="N38" s="11"/>
      <c r="O38" s="15"/>
      <c r="P38" s="14">
        <f>J18</f>
        <v>12.282940360610263</v>
      </c>
      <c r="Q38" s="8"/>
    </row>
    <row r="39" spans="2:17" ht="13.5" thickBot="1" x14ac:dyDescent="0.25">
      <c r="B39" s="2"/>
      <c r="E39" s="13" t="s">
        <v>7</v>
      </c>
      <c r="F39" s="2"/>
      <c r="G39" s="12">
        <f>0.059*G16</f>
        <v>4.5180211511789183</v>
      </c>
      <c r="H39" s="2"/>
      <c r="I39" s="2"/>
      <c r="J39" s="2"/>
      <c r="K39" s="2"/>
      <c r="N39" s="11">
        <f>G28</f>
        <v>40.202730582524275</v>
      </c>
      <c r="O39" s="10" t="s">
        <v>6</v>
      </c>
      <c r="P39" s="9" t="s">
        <v>5</v>
      </c>
      <c r="Q39" s="8"/>
    </row>
    <row r="40" spans="2:17" x14ac:dyDescent="0.2">
      <c r="B40" s="2"/>
      <c r="C40" s="7" t="s">
        <v>4</v>
      </c>
      <c r="D40" s="7"/>
      <c r="E40" s="6" t="s">
        <v>3</v>
      </c>
      <c r="F40" s="2"/>
      <c r="G40" s="5">
        <f>300/B8*7</f>
        <v>14.563106796116504</v>
      </c>
      <c r="H40" s="2" t="s">
        <v>2</v>
      </c>
      <c r="I40" s="2"/>
      <c r="J40" s="2"/>
      <c r="K40" s="2"/>
    </row>
    <row r="41" spans="2:17" x14ac:dyDescent="0.2">
      <c r="B41" s="4" t="s">
        <v>1</v>
      </c>
      <c r="C41" s="3" t="s">
        <v>0</v>
      </c>
      <c r="D41" s="3"/>
      <c r="E41" s="3"/>
      <c r="F41" s="2"/>
      <c r="G41" s="2"/>
      <c r="H41" s="2"/>
      <c r="I41" s="2"/>
      <c r="J41" s="2"/>
      <c r="K41" s="2"/>
    </row>
  </sheetData>
  <pageMargins left="0.5" right="0.25" top="0.5" bottom="0.5" header="0.5" footer="0.5"/>
  <pageSetup scale="90" orientation="landscape" horizontalDpi="360" verticalDpi="360" r:id="rId1"/>
  <headerFooter alignWithMargins="0">
    <oddFooter>&amp;R&amp;D&amp;F</oddFoot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Q42"/>
  <sheetViews>
    <sheetView zoomScale="75" workbookViewId="0">
      <selection activeCell="F2" sqref="F2"/>
    </sheetView>
  </sheetViews>
  <sheetFormatPr defaultRowHeight="12.75" x14ac:dyDescent="0.2"/>
  <cols>
    <col min="1" max="1" width="2.7109375" style="1" customWidth="1"/>
    <col min="2" max="2" width="8.140625" style="1" customWidth="1"/>
    <col min="3" max="3" width="6" style="1" customWidth="1"/>
    <col min="4" max="4" width="1.7109375" style="1" customWidth="1"/>
    <col min="5" max="5" width="10.140625" style="1" bestFit="1" customWidth="1"/>
    <col min="6" max="7" width="9.140625" style="1"/>
    <col min="8" max="8" width="10.140625" style="1" bestFit="1" customWidth="1"/>
    <col min="9" max="16384" width="9.140625" style="1"/>
  </cols>
  <sheetData>
    <row r="1" spans="1:17" x14ac:dyDescent="0.2">
      <c r="B1" s="2"/>
      <c r="C1" s="2"/>
      <c r="D1" s="2"/>
      <c r="E1" s="2"/>
      <c r="F1" s="2"/>
      <c r="G1" s="2"/>
      <c r="H1" s="2"/>
      <c r="I1" s="2"/>
      <c r="J1" s="2"/>
      <c r="K1" s="2"/>
      <c r="N1" s="158"/>
    </row>
    <row r="2" spans="1:17" ht="30" x14ac:dyDescent="0.4">
      <c r="B2" s="2"/>
      <c r="C2" s="2"/>
      <c r="D2" s="2"/>
      <c r="E2" s="2"/>
      <c r="F2" s="106" t="s">
        <v>325</v>
      </c>
      <c r="G2" s="2"/>
      <c r="H2" s="2"/>
      <c r="I2" s="2"/>
      <c r="J2" s="2"/>
      <c r="K2" s="2"/>
      <c r="L2" s="90" t="s">
        <v>116</v>
      </c>
      <c r="N2" s="105"/>
      <c r="O2" s="104"/>
    </row>
    <row r="3" spans="1:17" ht="13.5" thickBot="1" x14ac:dyDescent="0.25">
      <c r="B3" s="2"/>
      <c r="C3" s="2" t="s">
        <v>11</v>
      </c>
      <c r="D3" s="2"/>
      <c r="E3" s="2"/>
      <c r="F3" s="26"/>
      <c r="G3" s="2"/>
      <c r="H3" s="2"/>
      <c r="I3" s="19" t="s">
        <v>11</v>
      </c>
      <c r="J3" s="2"/>
      <c r="K3" s="2"/>
      <c r="L3" s="90" t="s">
        <v>115</v>
      </c>
      <c r="N3" s="11">
        <f>N21</f>
        <v>37.291589533251901</v>
      </c>
      <c r="O3" s="16" t="s">
        <v>80</v>
      </c>
      <c r="P3" s="157"/>
      <c r="Q3" s="143">
        <f>SUM(P4:P7)</f>
        <v>40.943134535367548</v>
      </c>
    </row>
    <row r="4" spans="1:17" ht="12.75" customHeight="1" x14ac:dyDescent="0.2">
      <c r="B4" s="2" t="s">
        <v>11</v>
      </c>
      <c r="C4" s="2" t="s">
        <v>11</v>
      </c>
      <c r="D4" s="2"/>
      <c r="E4" s="102" t="s">
        <v>114</v>
      </c>
      <c r="F4" s="26"/>
      <c r="G4" s="26"/>
      <c r="H4" s="2"/>
      <c r="I4" s="2"/>
      <c r="J4" s="2"/>
      <c r="K4" s="2"/>
      <c r="L4" s="24">
        <f>SUM(P4:P39)/12</f>
        <v>18.083217753120667</v>
      </c>
      <c r="M4" s="23" t="s">
        <v>101</v>
      </c>
      <c r="N4" s="11"/>
      <c r="O4" s="15"/>
      <c r="P4" s="101">
        <f>J16</f>
        <v>20.471567267683774</v>
      </c>
      <c r="Q4" s="8"/>
    </row>
    <row r="5" spans="1:17" ht="12.75" customHeight="1" x14ac:dyDescent="0.2">
      <c r="B5" s="100" t="s">
        <v>11</v>
      </c>
      <c r="C5" s="2"/>
      <c r="D5" s="2"/>
      <c r="E5" s="2"/>
      <c r="F5" s="44" t="s">
        <v>11</v>
      </c>
      <c r="G5" s="43"/>
      <c r="H5" s="2"/>
      <c r="I5" s="100" t="s">
        <v>11</v>
      </c>
      <c r="J5" s="2"/>
      <c r="K5" s="2"/>
      <c r="N5" s="11"/>
      <c r="O5" s="15"/>
      <c r="P5" s="14" t="s">
        <v>5</v>
      </c>
      <c r="Q5" s="8"/>
    </row>
    <row r="6" spans="1:17" ht="13.5" thickBot="1" x14ac:dyDescent="0.25">
      <c r="A6" s="156"/>
      <c r="B6" s="155" t="s">
        <v>113</v>
      </c>
      <c r="C6" s="154"/>
      <c r="D6" s="81"/>
      <c r="H6" s="43"/>
      <c r="I6" s="90" t="s">
        <v>77</v>
      </c>
      <c r="J6" s="2"/>
      <c r="K6" s="2"/>
      <c r="L6" s="1" t="s">
        <v>11</v>
      </c>
      <c r="N6" s="11">
        <f>N21</f>
        <v>37.291589533251901</v>
      </c>
      <c r="O6" s="16" t="s">
        <v>75</v>
      </c>
      <c r="P6" s="9"/>
      <c r="Q6" s="8"/>
    </row>
    <row r="7" spans="1:17" ht="14.25" thickTop="1" thickBot="1" x14ac:dyDescent="0.25">
      <c r="A7" s="137"/>
      <c r="B7" s="153" t="s">
        <v>112</v>
      </c>
      <c r="C7" s="141"/>
      <c r="D7" s="81"/>
      <c r="H7" s="98"/>
      <c r="I7" s="84" t="s">
        <v>61</v>
      </c>
      <c r="J7" s="97" t="s">
        <v>60</v>
      </c>
      <c r="K7" s="2"/>
      <c r="N7" s="11"/>
      <c r="O7" s="15"/>
      <c r="P7" s="14">
        <f>J16</f>
        <v>20.471567267683774</v>
      </c>
      <c r="Q7" s="8"/>
    </row>
    <row r="8" spans="1:17" ht="13.5" thickBot="1" x14ac:dyDescent="0.25">
      <c r="A8" s="137"/>
      <c r="B8" s="145">
        <v>144.19999999999999</v>
      </c>
      <c r="C8" s="144" t="s">
        <v>73</v>
      </c>
      <c r="D8" s="41"/>
      <c r="H8" s="80" t="s">
        <v>57</v>
      </c>
      <c r="I8" s="71">
        <f>984/B8</f>
        <v>6.8238557558945914</v>
      </c>
      <c r="J8" s="152">
        <f t="shared" ref="J8:J20" si="0">12*I8</f>
        <v>81.886269070735096</v>
      </c>
      <c r="K8" s="43"/>
      <c r="N8" s="11" t="s">
        <v>11</v>
      </c>
      <c r="O8" s="15"/>
      <c r="P8" s="14" t="s">
        <v>5</v>
      </c>
      <c r="Q8" s="8"/>
    </row>
    <row r="9" spans="1:17" ht="13.5" thickBot="1" x14ac:dyDescent="0.25">
      <c r="A9" s="137"/>
      <c r="B9" s="151" t="s">
        <v>11</v>
      </c>
      <c r="C9" s="141"/>
      <c r="D9" s="81"/>
      <c r="H9" s="75" t="s">
        <v>54</v>
      </c>
      <c r="I9" s="71">
        <f>3*I12</f>
        <v>5.1178918169209435</v>
      </c>
      <c r="J9" s="70">
        <f t="shared" si="0"/>
        <v>61.414701803051322</v>
      </c>
      <c r="K9" s="43"/>
      <c r="L9" s="26" t="s">
        <v>111</v>
      </c>
      <c r="N9" s="11">
        <f>N21</f>
        <v>37.291589533251901</v>
      </c>
      <c r="O9" s="16" t="s">
        <v>72</v>
      </c>
      <c r="P9" s="9"/>
      <c r="Q9" s="143">
        <f>SUM(P10:P13)</f>
        <v>40.943134535367548</v>
      </c>
    </row>
    <row r="10" spans="1:17" x14ac:dyDescent="0.2">
      <c r="A10" s="137"/>
      <c r="B10" s="150" t="s">
        <v>11</v>
      </c>
      <c r="C10" s="141"/>
      <c r="D10" s="81"/>
      <c r="H10" s="75" t="s">
        <v>52</v>
      </c>
      <c r="I10" s="71">
        <f>5*I13</f>
        <v>4.2649098474341196</v>
      </c>
      <c r="J10" s="70">
        <f t="shared" si="0"/>
        <v>51.178918169209439</v>
      </c>
      <c r="K10" s="43"/>
      <c r="L10" s="24">
        <f>SUM(P10:P39)/12</f>
        <v>14.67128987517337</v>
      </c>
      <c r="M10" s="23" t="s">
        <v>101</v>
      </c>
      <c r="N10" s="11"/>
      <c r="O10" s="15"/>
      <c r="P10" s="14">
        <f>J16</f>
        <v>20.471567267683774</v>
      </c>
      <c r="Q10" s="8"/>
    </row>
    <row r="11" spans="1:17" x14ac:dyDescent="0.2">
      <c r="A11" s="137"/>
      <c r="B11" s="146" t="s">
        <v>110</v>
      </c>
      <c r="C11" s="141"/>
      <c r="D11" s="81"/>
      <c r="H11" s="149" t="s">
        <v>69</v>
      </c>
      <c r="I11" s="148">
        <f>I8/2</f>
        <v>3.4119278779472957</v>
      </c>
      <c r="J11" s="147">
        <f t="shared" si="0"/>
        <v>40.943134535367548</v>
      </c>
      <c r="K11" s="43" t="s">
        <v>11</v>
      </c>
      <c r="N11" s="11"/>
      <c r="O11" s="15"/>
      <c r="P11" s="14" t="s">
        <v>5</v>
      </c>
      <c r="Q11" s="8"/>
    </row>
    <row r="12" spans="1:17" ht="13.5" thickBot="1" x14ac:dyDescent="0.25">
      <c r="A12" s="137"/>
      <c r="B12" s="146" t="s">
        <v>109</v>
      </c>
      <c r="C12" s="141"/>
      <c r="D12" s="81"/>
      <c r="H12" s="75" t="s">
        <v>44</v>
      </c>
      <c r="I12" s="71">
        <f>I11/2</f>
        <v>1.7059639389736478</v>
      </c>
      <c r="J12" s="70">
        <f t="shared" si="0"/>
        <v>20.471567267683774</v>
      </c>
      <c r="K12" s="43" t="s">
        <v>11</v>
      </c>
      <c r="N12" s="11">
        <f>N21</f>
        <v>37.291589533251901</v>
      </c>
      <c r="O12" s="16" t="s">
        <v>66</v>
      </c>
      <c r="P12" s="9"/>
      <c r="Q12" s="8"/>
    </row>
    <row r="13" spans="1:17" x14ac:dyDescent="0.2">
      <c r="A13" s="137"/>
      <c r="B13" s="82" t="s">
        <v>108</v>
      </c>
      <c r="C13" s="141"/>
      <c r="D13" s="81"/>
      <c r="H13" s="68" t="s">
        <v>65</v>
      </c>
      <c r="I13" s="67">
        <f>I12/2</f>
        <v>0.85298196948682392</v>
      </c>
      <c r="J13" s="76">
        <f t="shared" si="0"/>
        <v>10.235783633841887</v>
      </c>
      <c r="K13" s="43"/>
      <c r="N13" s="11"/>
      <c r="O13" s="15"/>
      <c r="P13" s="14">
        <f>J16</f>
        <v>20.471567267683774</v>
      </c>
      <c r="Q13" s="8"/>
    </row>
    <row r="14" spans="1:17" ht="13.5" thickBot="1" x14ac:dyDescent="0.25">
      <c r="A14" s="137"/>
      <c r="B14" s="82" t="s">
        <v>107</v>
      </c>
      <c r="C14" s="141"/>
      <c r="D14" s="81"/>
      <c r="E14" s="26"/>
      <c r="F14" s="90" t="s">
        <v>63</v>
      </c>
      <c r="G14" s="89"/>
      <c r="H14" s="72">
        <v>0.5</v>
      </c>
      <c r="I14" s="71">
        <f>I8/2</f>
        <v>3.4119278779472957</v>
      </c>
      <c r="J14" s="70">
        <f t="shared" si="0"/>
        <v>40.943134535367548</v>
      </c>
      <c r="K14" s="2"/>
      <c r="N14" s="11"/>
      <c r="O14" s="15"/>
      <c r="P14" s="14" t="s">
        <v>5</v>
      </c>
      <c r="Q14" s="8"/>
    </row>
    <row r="15" spans="1:17" ht="14.25" thickTop="1" thickBot="1" x14ac:dyDescent="0.25">
      <c r="A15" s="137"/>
      <c r="B15" s="145">
        <v>0.95699999999999996</v>
      </c>
      <c r="C15" s="144" t="s">
        <v>106</v>
      </c>
      <c r="D15" s="86"/>
      <c r="E15" s="85" t="s">
        <v>11</v>
      </c>
      <c r="F15" s="84" t="s">
        <v>61</v>
      </c>
      <c r="G15" s="83" t="s">
        <v>60</v>
      </c>
      <c r="H15" s="72">
        <v>0.3</v>
      </c>
      <c r="I15" s="71">
        <f>0.3*I8</f>
        <v>2.0471567267683772</v>
      </c>
      <c r="J15" s="70">
        <f t="shared" si="0"/>
        <v>24.565880721220527</v>
      </c>
      <c r="K15" s="2"/>
      <c r="L15" s="26" t="s">
        <v>105</v>
      </c>
      <c r="N15" s="11">
        <f>N21</f>
        <v>37.291589533251901</v>
      </c>
      <c r="O15" s="16" t="s">
        <v>59</v>
      </c>
      <c r="P15" s="9"/>
      <c r="Q15" s="143">
        <f>SUM(P16:P19)</f>
        <v>40.943134535367548</v>
      </c>
    </row>
    <row r="16" spans="1:17" x14ac:dyDescent="0.2">
      <c r="A16" s="137"/>
      <c r="B16" s="142" t="s">
        <v>11</v>
      </c>
      <c r="C16" s="141"/>
      <c r="D16" s="81"/>
      <c r="E16" s="80" t="s">
        <v>57</v>
      </c>
      <c r="F16" s="71">
        <f>11810*B15/B8/12</f>
        <v>6.531536061026352</v>
      </c>
      <c r="G16" s="70">
        <f>11810*B15/B8</f>
        <v>78.378432732316227</v>
      </c>
      <c r="H16" s="72">
        <v>0.25</v>
      </c>
      <c r="I16" s="71">
        <f>0.25*I8</f>
        <v>1.7059639389736478</v>
      </c>
      <c r="J16" s="70">
        <f t="shared" si="0"/>
        <v>20.471567267683774</v>
      </c>
      <c r="K16" s="2"/>
      <c r="L16" s="24">
        <f>SUM(P16:P39)/12</f>
        <v>11.259361997226078</v>
      </c>
      <c r="M16" s="23" t="s">
        <v>101</v>
      </c>
      <c r="N16" s="11"/>
      <c r="O16" s="15"/>
      <c r="P16" s="14">
        <f>J16</f>
        <v>20.471567267683774</v>
      </c>
      <c r="Q16" s="8"/>
    </row>
    <row r="17" spans="1:17" x14ac:dyDescent="0.2">
      <c r="A17" s="137"/>
      <c r="B17" s="140" t="s">
        <v>104</v>
      </c>
      <c r="C17" s="139" t="s">
        <v>55</v>
      </c>
      <c r="D17" s="78"/>
      <c r="E17" s="75" t="s">
        <v>54</v>
      </c>
      <c r="F17" s="71">
        <f>F20+F19</f>
        <v>4.8986520457697642</v>
      </c>
      <c r="G17" s="70">
        <f>G20+G19</f>
        <v>58.223702679045658</v>
      </c>
      <c r="H17" s="77">
        <v>0.2</v>
      </c>
      <c r="I17" s="67">
        <f>0.2*I8</f>
        <v>1.3647711511789185</v>
      </c>
      <c r="J17" s="76">
        <f t="shared" si="0"/>
        <v>16.377253814147021</v>
      </c>
      <c r="K17" s="2"/>
      <c r="N17" s="11"/>
      <c r="O17" s="15"/>
      <c r="P17" s="14" t="s">
        <v>5</v>
      </c>
      <c r="Q17" s="8"/>
    </row>
    <row r="18" spans="1:17" ht="13.5" thickBot="1" x14ac:dyDescent="0.25">
      <c r="A18" s="137"/>
      <c r="B18" s="136" t="s">
        <v>53</v>
      </c>
      <c r="C18" s="135">
        <v>0.94199999999999995</v>
      </c>
      <c r="D18" s="59"/>
      <c r="E18" s="75" t="s">
        <v>52</v>
      </c>
      <c r="F18" s="71">
        <f>F20/2*5</f>
        <v>4.0822100381414703</v>
      </c>
      <c r="G18" s="70">
        <f>G20/2*5</f>
        <v>48.986520457697644</v>
      </c>
      <c r="H18" s="72">
        <v>0.15</v>
      </c>
      <c r="I18" s="71">
        <f>0.15*I8</f>
        <v>1.0235783633841886</v>
      </c>
      <c r="J18" s="70">
        <f t="shared" si="0"/>
        <v>12.282940360610263</v>
      </c>
      <c r="K18" s="2" t="s">
        <v>11</v>
      </c>
      <c r="M18" s="1" t="s">
        <v>11</v>
      </c>
      <c r="N18" s="11">
        <f>N21</f>
        <v>37.291589533251901</v>
      </c>
      <c r="O18" s="16" t="s">
        <v>50</v>
      </c>
      <c r="P18" s="9"/>
      <c r="Q18" s="8"/>
    </row>
    <row r="19" spans="1:17" x14ac:dyDescent="0.2">
      <c r="A19" s="137"/>
      <c r="B19" s="138" t="s">
        <v>49</v>
      </c>
      <c r="C19" s="135">
        <v>0.95</v>
      </c>
      <c r="D19" s="59"/>
      <c r="E19" s="68" t="s">
        <v>46</v>
      </c>
      <c r="F19" s="73">
        <f>F16/2</f>
        <v>3.265768030513176</v>
      </c>
      <c r="G19" s="66">
        <f>G16/2.029</f>
        <v>38.629094495966598</v>
      </c>
      <c r="H19" s="72">
        <v>0.09</v>
      </c>
      <c r="I19" s="71">
        <f>0.09*I8</f>
        <v>0.61414701803051319</v>
      </c>
      <c r="J19" s="70">
        <f t="shared" si="0"/>
        <v>7.3697642163661587</v>
      </c>
      <c r="K19" s="2"/>
      <c r="N19" s="11"/>
      <c r="O19" s="15"/>
      <c r="P19" s="14">
        <f>J16</f>
        <v>20.471567267683774</v>
      </c>
      <c r="Q19" s="8"/>
    </row>
    <row r="20" spans="1:17" ht="13.5" thickBot="1" x14ac:dyDescent="0.25">
      <c r="A20" s="137"/>
      <c r="B20" s="136" t="s">
        <v>47</v>
      </c>
      <c r="C20" s="135">
        <v>0.95699999999999996</v>
      </c>
      <c r="D20" s="59"/>
      <c r="E20" s="58" t="s">
        <v>44</v>
      </c>
      <c r="F20" s="56">
        <f>F16/4</f>
        <v>1.632884015256588</v>
      </c>
      <c r="G20" s="134">
        <f>G16/4</f>
        <v>19.594608183079057</v>
      </c>
      <c r="H20" s="57">
        <v>7.0000000000000007E-2</v>
      </c>
      <c r="I20" s="56">
        <f>0.07*I8</f>
        <v>0.47766990291262146</v>
      </c>
      <c r="J20" s="133">
        <f t="shared" si="0"/>
        <v>5.7320388349514575</v>
      </c>
      <c r="K20" s="2"/>
      <c r="L20" s="26" t="s">
        <v>103</v>
      </c>
      <c r="N20" s="11"/>
      <c r="O20" s="15"/>
      <c r="P20" s="14" t="s">
        <v>5</v>
      </c>
      <c r="Q20" s="8"/>
    </row>
    <row r="21" spans="1:17" ht="14.25" thickTop="1" thickBot="1" x14ac:dyDescent="0.25">
      <c r="A21" s="132"/>
      <c r="B21" s="111" t="s">
        <v>45</v>
      </c>
      <c r="C21" s="131">
        <v>0.96199999999999997</v>
      </c>
      <c r="D21" s="59"/>
      <c r="E21" s="130" t="s">
        <v>11</v>
      </c>
      <c r="F21" s="128" t="s">
        <v>11</v>
      </c>
      <c r="G21" s="128" t="s">
        <v>11</v>
      </c>
      <c r="H21" s="129" t="s">
        <v>102</v>
      </c>
      <c r="I21" s="128" t="s">
        <v>11</v>
      </c>
      <c r="J21" s="128" t="s">
        <v>11</v>
      </c>
      <c r="K21" s="2"/>
      <c r="L21" s="24">
        <f>SUM(P22:P38)/12</f>
        <v>7.8474341192787804</v>
      </c>
      <c r="M21" s="23" t="s">
        <v>101</v>
      </c>
      <c r="N21" s="11">
        <f>N24</f>
        <v>37.291589533251901</v>
      </c>
      <c r="O21" s="16" t="s">
        <v>43</v>
      </c>
      <c r="P21" s="9"/>
      <c r="Q21" s="122">
        <f>SUM(P22:P25)</f>
        <v>40.943134535367548</v>
      </c>
    </row>
    <row r="22" spans="1:17" x14ac:dyDescent="0.2">
      <c r="A22" s="51" t="s">
        <v>100</v>
      </c>
      <c r="B22" s="51"/>
      <c r="C22" s="51"/>
      <c r="D22" s="51"/>
      <c r="E22" s="127"/>
      <c r="F22" s="48" t="s">
        <v>41</v>
      </c>
      <c r="G22" s="47"/>
      <c r="H22" s="2"/>
      <c r="I22" s="2"/>
      <c r="J22" s="2"/>
      <c r="K22" s="2"/>
      <c r="N22" s="11"/>
      <c r="O22" s="15"/>
      <c r="P22" s="14">
        <f>J15</f>
        <v>24.565880721220527</v>
      </c>
      <c r="Q22" s="8"/>
    </row>
    <row r="23" spans="1:17" x14ac:dyDescent="0.2">
      <c r="B23" s="3" t="s">
        <v>99</v>
      </c>
      <c r="C23" s="3"/>
      <c r="D23" s="3"/>
      <c r="G23" s="2"/>
      <c r="H23" s="2"/>
      <c r="I23" s="2"/>
      <c r="J23" s="2"/>
      <c r="K23" s="2"/>
      <c r="N23" s="11"/>
      <c r="O23" s="15"/>
      <c r="P23" s="14" t="s">
        <v>5</v>
      </c>
      <c r="Q23" s="8"/>
    </row>
    <row r="24" spans="1:17" ht="13.5" thickBot="1" x14ac:dyDescent="0.25">
      <c r="B24" s="3"/>
      <c r="C24" s="3" t="s">
        <v>11</v>
      </c>
      <c r="D24" s="3"/>
      <c r="G24" s="2"/>
      <c r="H24" s="2"/>
      <c r="I24" s="2"/>
      <c r="J24" s="2"/>
      <c r="K24" s="5" t="s">
        <v>11</v>
      </c>
      <c r="N24" s="11">
        <f>M28-0.6</f>
        <v>37.291589533251901</v>
      </c>
      <c r="O24" s="16" t="s">
        <v>37</v>
      </c>
      <c r="P24" s="9"/>
      <c r="Q24" s="8" t="s">
        <v>11</v>
      </c>
    </row>
    <row r="25" spans="1:17" x14ac:dyDescent="0.2">
      <c r="B25" s="2"/>
      <c r="C25" s="2"/>
      <c r="D25" s="2"/>
      <c r="E25" s="2"/>
      <c r="F25" s="2" t="s">
        <v>11</v>
      </c>
      <c r="G25" s="2"/>
      <c r="H25" s="2"/>
      <c r="I25" s="2"/>
      <c r="J25" s="2"/>
      <c r="K25" s="2"/>
      <c r="L25" s="1" t="s">
        <v>11</v>
      </c>
      <c r="N25" s="21"/>
      <c r="O25" s="15"/>
      <c r="P25" s="14">
        <f>J17</f>
        <v>16.377253814147021</v>
      </c>
      <c r="Q25" s="8"/>
    </row>
    <row r="26" spans="1:17" x14ac:dyDescent="0.2">
      <c r="B26" s="2" t="s">
        <v>11</v>
      </c>
      <c r="C26" s="2"/>
      <c r="D26" s="2"/>
      <c r="E26" s="126" t="s">
        <v>36</v>
      </c>
      <c r="F26" s="44" t="s">
        <v>98</v>
      </c>
      <c r="G26" s="43"/>
      <c r="H26" s="43"/>
      <c r="I26" s="42">
        <f>B8</f>
        <v>144.19999999999999</v>
      </c>
      <c r="J26" s="41" t="s">
        <v>34</v>
      </c>
      <c r="K26" s="2"/>
      <c r="N26" s="21"/>
      <c r="O26" s="15"/>
      <c r="P26" s="14" t="s">
        <v>5</v>
      </c>
      <c r="Q26" s="8"/>
    </row>
    <row r="27" spans="1:17" ht="13.5" thickBot="1" x14ac:dyDescent="0.25">
      <c r="B27" s="2"/>
      <c r="C27" s="2"/>
      <c r="D27" s="2"/>
      <c r="E27" s="40"/>
      <c r="F27" s="17" t="s">
        <v>33</v>
      </c>
      <c r="G27" s="39">
        <f>SUM(G30:K30)/12</f>
        <v>4.4355062413314839</v>
      </c>
      <c r="H27" s="38" t="s">
        <v>32</v>
      </c>
      <c r="I27" s="37">
        <f>SUM(G30:K30)</f>
        <v>53.22607489597781</v>
      </c>
      <c r="J27" s="36" t="s">
        <v>31</v>
      </c>
      <c r="K27" s="125"/>
      <c r="L27" s="124"/>
      <c r="M27" s="123"/>
      <c r="N27" s="21">
        <f>M28</f>
        <v>37.891589533251903</v>
      </c>
      <c r="O27" s="16" t="s">
        <v>30</v>
      </c>
      <c r="P27" s="9"/>
      <c r="Q27" s="122">
        <f>SUM(P28:P36)</f>
        <v>40.943134535367548</v>
      </c>
    </row>
    <row r="28" spans="1:17" x14ac:dyDescent="0.2">
      <c r="B28" s="2" t="s">
        <v>11</v>
      </c>
      <c r="C28" s="2"/>
      <c r="D28" s="2"/>
      <c r="E28" s="2"/>
      <c r="F28" s="17" t="s">
        <v>97</v>
      </c>
      <c r="G28" s="27">
        <f>0.065*G19+G19</f>
        <v>41.139985638204429</v>
      </c>
      <c r="H28" s="21">
        <f>G19</f>
        <v>38.629094495966598</v>
      </c>
      <c r="I28" s="11">
        <f>-0.046*G11+H28</f>
        <v>38.629094495966598</v>
      </c>
      <c r="J28" s="11">
        <f>-0.005*I28+I28</f>
        <v>38.435949023486764</v>
      </c>
      <c r="K28" s="11">
        <f>-0.01*J28+J28</f>
        <v>38.051589533251899</v>
      </c>
      <c r="L28" s="21"/>
      <c r="M28" s="28">
        <f>K28-0.16</f>
        <v>37.891589533251903</v>
      </c>
      <c r="N28" s="21"/>
      <c r="O28" s="15"/>
      <c r="P28" s="14">
        <f>K30</f>
        <v>20.471567267683774</v>
      </c>
      <c r="Q28" s="8"/>
    </row>
    <row r="29" spans="1:17" ht="13.5" thickBot="1" x14ac:dyDescent="0.25">
      <c r="B29" s="2"/>
      <c r="C29" s="2"/>
      <c r="D29" s="2"/>
      <c r="E29" s="2"/>
      <c r="F29" s="2"/>
      <c r="G29" s="30" t="s">
        <v>28</v>
      </c>
      <c r="H29" s="30" t="s">
        <v>27</v>
      </c>
      <c r="I29" s="29" t="s">
        <v>26</v>
      </c>
      <c r="J29" s="29" t="s">
        <v>25</v>
      </c>
      <c r="K29" s="121" t="s">
        <v>96</v>
      </c>
      <c r="L29" s="121" t="s">
        <v>95</v>
      </c>
      <c r="N29" s="21"/>
      <c r="O29" s="15"/>
      <c r="P29" s="14" t="s">
        <v>5</v>
      </c>
      <c r="Q29" s="8"/>
    </row>
    <row r="30" spans="1:17" ht="14.25" thickTop="1" thickBot="1" x14ac:dyDescent="0.25">
      <c r="B30" s="2"/>
      <c r="C30" s="2"/>
      <c r="D30" s="2"/>
      <c r="E30" s="2"/>
      <c r="F30" s="17" t="s">
        <v>24</v>
      </c>
      <c r="G30" s="28">
        <f>J18</f>
        <v>12.282940360610263</v>
      </c>
      <c r="H30" s="28">
        <f>J20</f>
        <v>5.7320388349514575</v>
      </c>
      <c r="I30" s="28">
        <f>J19</f>
        <v>7.3697642163661587</v>
      </c>
      <c r="J30" s="27">
        <f>J19</f>
        <v>7.3697642163661587</v>
      </c>
      <c r="K30" s="11">
        <f>J16</f>
        <v>20.471567267683774</v>
      </c>
      <c r="N30" s="21">
        <f>K28</f>
        <v>38.051589533251899</v>
      </c>
      <c r="O30" s="16" t="s">
        <v>22</v>
      </c>
      <c r="P30" s="9"/>
      <c r="Q30" s="8" t="s">
        <v>11</v>
      </c>
    </row>
    <row r="31" spans="1:17" x14ac:dyDescent="0.2">
      <c r="B31" s="1" t="s">
        <v>94</v>
      </c>
      <c r="N31" s="21"/>
      <c r="O31" s="15"/>
      <c r="P31" s="14">
        <f>J30</f>
        <v>7.3697642163661587</v>
      </c>
      <c r="Q31" s="8"/>
    </row>
    <row r="32" spans="1:17" x14ac:dyDescent="0.2">
      <c r="B32" s="1" t="s">
        <v>93</v>
      </c>
      <c r="G32" s="2"/>
      <c r="H32" s="2"/>
      <c r="I32" s="120"/>
      <c r="J32" s="2"/>
      <c r="K32" s="2"/>
      <c r="N32" s="21"/>
      <c r="O32" s="15"/>
      <c r="P32" s="14" t="s">
        <v>5</v>
      </c>
      <c r="Q32" s="8"/>
    </row>
    <row r="33" spans="2:17" ht="13.5" thickBot="1" x14ac:dyDescent="0.25">
      <c r="B33" s="1" t="s">
        <v>92</v>
      </c>
      <c r="G33" s="2"/>
      <c r="H33" s="2"/>
      <c r="I33" s="2"/>
      <c r="J33" s="2"/>
      <c r="K33" s="2"/>
      <c r="N33" s="21">
        <f>J28</f>
        <v>38.435949023486764</v>
      </c>
      <c r="O33" s="16" t="s">
        <v>17</v>
      </c>
      <c r="P33" s="9"/>
      <c r="Q33" s="8"/>
    </row>
    <row r="34" spans="2:17" x14ac:dyDescent="0.2">
      <c r="B34" s="1" t="s">
        <v>91</v>
      </c>
      <c r="G34" s="2"/>
      <c r="H34" s="2"/>
      <c r="I34" s="2"/>
      <c r="J34" s="2"/>
      <c r="K34" s="2"/>
      <c r="N34" s="21"/>
      <c r="O34" s="15"/>
      <c r="P34" s="14">
        <f>I30</f>
        <v>7.3697642163661587</v>
      </c>
      <c r="Q34" s="8"/>
    </row>
    <row r="35" spans="2:17" ht="13.5" thickBot="1" x14ac:dyDescent="0.25">
      <c r="B35" s="2"/>
      <c r="C35" s="2"/>
      <c r="D35" s="2"/>
      <c r="E35" s="22" t="s">
        <v>11</v>
      </c>
      <c r="F35" s="2"/>
      <c r="G35" s="102" t="s">
        <v>90</v>
      </c>
      <c r="H35" s="2"/>
      <c r="I35" s="2"/>
      <c r="J35" s="2"/>
      <c r="K35" s="2"/>
      <c r="N35" s="21">
        <f>I28</f>
        <v>38.629094495966598</v>
      </c>
      <c r="O35" s="16" t="s">
        <v>15</v>
      </c>
      <c r="P35" s="9" t="s">
        <v>5</v>
      </c>
      <c r="Q35" s="8"/>
    </row>
    <row r="36" spans="2:17" ht="13.5" thickBot="1" x14ac:dyDescent="0.25">
      <c r="B36" s="2"/>
      <c r="C36" s="26" t="s">
        <v>89</v>
      </c>
      <c r="D36" s="26"/>
      <c r="E36" s="2"/>
      <c r="F36" s="30"/>
      <c r="G36" s="30"/>
      <c r="H36" s="30"/>
      <c r="I36" s="119">
        <f>H28</f>
        <v>38.629094495966598</v>
      </c>
      <c r="J36" s="118" t="s">
        <v>31</v>
      </c>
      <c r="K36" s="2"/>
      <c r="N36" s="11"/>
      <c r="O36" s="15"/>
      <c r="P36" s="14">
        <f>H30</f>
        <v>5.7320388349514575</v>
      </c>
      <c r="Q36" s="8"/>
    </row>
    <row r="37" spans="2:17" ht="14.25" thickTop="1" thickBot="1" x14ac:dyDescent="0.25">
      <c r="B37" s="2"/>
      <c r="C37" s="7"/>
      <c r="D37" s="7"/>
      <c r="E37" s="19"/>
      <c r="F37" s="43"/>
      <c r="G37" s="43"/>
      <c r="H37" s="43"/>
      <c r="I37" s="43"/>
      <c r="J37" s="43"/>
      <c r="K37" s="17" t="s">
        <v>88</v>
      </c>
      <c r="L37" s="1" t="s">
        <v>87</v>
      </c>
      <c r="N37" s="11">
        <f>G19</f>
        <v>38.629094495966598</v>
      </c>
      <c r="O37" s="16" t="s">
        <v>10</v>
      </c>
      <c r="P37" s="9" t="s">
        <v>5</v>
      </c>
      <c r="Q37" s="8"/>
    </row>
    <row r="38" spans="2:17" x14ac:dyDescent="0.2">
      <c r="B38" s="2"/>
      <c r="C38" s="117" t="s">
        <v>86</v>
      </c>
      <c r="D38" s="116"/>
      <c r="E38" s="115"/>
      <c r="F38" s="115"/>
      <c r="G38" s="114"/>
      <c r="H38" s="2"/>
      <c r="I38" s="19" t="s">
        <v>85</v>
      </c>
      <c r="J38" s="2"/>
      <c r="K38" s="2"/>
      <c r="N38" s="11"/>
      <c r="O38" s="15"/>
      <c r="P38" s="14">
        <f>G30</f>
        <v>12.282940360610263</v>
      </c>
      <c r="Q38" s="8"/>
    </row>
    <row r="39" spans="2:17" ht="13.5" thickBot="1" x14ac:dyDescent="0.25">
      <c r="B39" s="2"/>
      <c r="C39" s="113" t="s">
        <v>84</v>
      </c>
      <c r="D39" s="112"/>
      <c r="E39" s="111"/>
      <c r="F39" s="110"/>
      <c r="G39" s="109"/>
      <c r="H39" s="2"/>
      <c r="I39" s="2"/>
      <c r="J39" s="13" t="s">
        <v>83</v>
      </c>
      <c r="K39" s="2"/>
      <c r="N39" s="11">
        <f>G28</f>
        <v>41.139985638204429</v>
      </c>
      <c r="O39" s="10" t="s">
        <v>6</v>
      </c>
      <c r="P39" s="9" t="s">
        <v>5</v>
      </c>
      <c r="Q39" s="8"/>
    </row>
    <row r="40" spans="2:17" x14ac:dyDescent="0.2">
      <c r="B40" s="2"/>
      <c r="C40" s="7"/>
      <c r="D40" s="7"/>
      <c r="E40" s="6"/>
      <c r="F40" s="2"/>
      <c r="G40" s="5"/>
      <c r="H40" s="2"/>
      <c r="I40" s="2"/>
      <c r="J40" s="2"/>
      <c r="K40" s="2"/>
    </row>
    <row r="41" spans="2:17" x14ac:dyDescent="0.2">
      <c r="B41" s="4" t="s">
        <v>11</v>
      </c>
      <c r="C41" s="3" t="s">
        <v>11</v>
      </c>
      <c r="D41" s="3"/>
      <c r="E41" s="3"/>
      <c r="F41" s="2"/>
      <c r="G41" s="2"/>
      <c r="H41" s="2"/>
      <c r="I41" s="2"/>
      <c r="J41" s="2"/>
      <c r="K41" s="2"/>
    </row>
    <row r="42" spans="2:17" x14ac:dyDescent="0.2">
      <c r="I42" s="108" t="s">
        <v>11</v>
      </c>
    </row>
  </sheetData>
  <pageMargins left="0.5" right="0.25" top="0.5" bottom="0.5" header="0.5" footer="0.5"/>
  <pageSetup scale="90" orientation="landscape" horizontalDpi="4294967293" verticalDpi="360" r:id="rId1"/>
  <headerFooter alignWithMargins="0">
    <oddFooter>&amp;L&amp;D&amp;F</oddFooter>
  </headerFooter>
  <drawing r:id="rId2"/>
  <legacyDrawing r:id="rId3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Q46"/>
  <sheetViews>
    <sheetView zoomScale="75" workbookViewId="0">
      <selection activeCell="F1" sqref="F1"/>
    </sheetView>
  </sheetViews>
  <sheetFormatPr defaultRowHeight="12.75" x14ac:dyDescent="0.2"/>
  <cols>
    <col min="1" max="1" width="4.7109375" style="1" customWidth="1"/>
    <col min="2" max="2" width="8.140625" style="1" customWidth="1"/>
    <col min="3" max="3" width="6" style="1" customWidth="1"/>
    <col min="4" max="4" width="1.7109375" style="1" customWidth="1"/>
    <col min="5" max="5" width="10.140625" style="1" bestFit="1" customWidth="1"/>
    <col min="6" max="7" width="9.140625" style="1"/>
    <col min="8" max="8" width="10.140625" style="1" bestFit="1" customWidth="1"/>
    <col min="9" max="16384" width="9.140625" style="1"/>
  </cols>
  <sheetData>
    <row r="1" spans="1:17" ht="30.75" thickBot="1" x14ac:dyDescent="0.45">
      <c r="B1" s="2"/>
      <c r="C1" s="2"/>
      <c r="D1" s="2"/>
      <c r="E1" s="2"/>
      <c r="F1" s="106" t="s">
        <v>326</v>
      </c>
      <c r="G1" s="2"/>
      <c r="H1" s="2"/>
      <c r="I1" s="2"/>
      <c r="J1" s="2"/>
      <c r="K1" s="2"/>
      <c r="L1" s="22" t="s">
        <v>81</v>
      </c>
      <c r="N1" s="32">
        <f>N22</f>
        <v>35.487622099149398</v>
      </c>
      <c r="O1" s="16" t="s">
        <v>316</v>
      </c>
      <c r="P1" s="107"/>
      <c r="Q1" s="193">
        <f>SUM(P2:P5)</f>
        <v>40.943134535367548</v>
      </c>
    </row>
    <row r="2" spans="1:17" ht="14.1" customHeight="1" x14ac:dyDescent="0.25">
      <c r="B2" s="2"/>
      <c r="C2" s="2"/>
      <c r="D2" s="2"/>
      <c r="E2" s="2"/>
      <c r="F2" s="26"/>
      <c r="G2" s="2"/>
      <c r="H2" s="2"/>
      <c r="I2" s="2"/>
      <c r="J2" s="2"/>
      <c r="K2" s="2"/>
      <c r="L2" s="24">
        <f>SUM(P2:P40)/12</f>
        <v>21.495145631067967</v>
      </c>
      <c r="M2" s="23" t="s">
        <v>21</v>
      </c>
      <c r="N2" s="192"/>
      <c r="O2" s="104"/>
      <c r="P2" s="161">
        <f>J17</f>
        <v>20.471567267683774</v>
      </c>
      <c r="Q2" s="122" t="s">
        <v>121</v>
      </c>
    </row>
    <row r="3" spans="1:17" ht="14.1" customHeight="1" x14ac:dyDescent="0.4">
      <c r="B3" s="2"/>
      <c r="C3" s="102" t="s">
        <v>126</v>
      </c>
      <c r="D3" s="2"/>
      <c r="E3" s="2"/>
      <c r="F3" s="106"/>
      <c r="G3" s="2"/>
      <c r="H3" s="2"/>
      <c r="I3" s="2"/>
      <c r="J3" s="2"/>
      <c r="K3" s="2"/>
      <c r="L3" s="24"/>
      <c r="M3" s="23"/>
      <c r="N3" s="192"/>
      <c r="O3" s="104"/>
      <c r="P3" s="161"/>
      <c r="Q3" s="122"/>
    </row>
    <row r="4" spans="1:17" ht="13.5" customHeight="1" thickBot="1" x14ac:dyDescent="0.25">
      <c r="B4" s="2"/>
      <c r="C4" s="2" t="s">
        <v>11</v>
      </c>
      <c r="D4" s="2"/>
      <c r="E4" s="2"/>
      <c r="F4" s="26" t="s">
        <v>11</v>
      </c>
      <c r="G4" s="2"/>
      <c r="H4" s="2"/>
      <c r="I4" s="19" t="s">
        <v>11</v>
      </c>
      <c r="J4" s="2"/>
      <c r="K4" s="2"/>
      <c r="L4" s="24">
        <f>SUM(P2:P40)</f>
        <v>257.94174757281559</v>
      </c>
      <c r="M4" s="23" t="s">
        <v>19</v>
      </c>
      <c r="N4" s="160">
        <f>N22</f>
        <v>35.487622099149398</v>
      </c>
      <c r="O4" s="16" t="s">
        <v>80</v>
      </c>
      <c r="P4" s="103"/>
      <c r="Q4" s="191"/>
    </row>
    <row r="5" spans="1:17" ht="12.75" customHeight="1" x14ac:dyDescent="0.2">
      <c r="B5" s="2" t="s">
        <v>11</v>
      </c>
      <c r="C5" s="2" t="s">
        <v>11</v>
      </c>
      <c r="D5" s="2"/>
      <c r="E5" s="26" t="s">
        <v>11</v>
      </c>
      <c r="F5" s="26"/>
      <c r="G5" s="26"/>
      <c r="H5" s="2"/>
      <c r="I5" s="2"/>
      <c r="J5" s="2"/>
      <c r="K5" s="2"/>
      <c r="L5" s="53" t="s">
        <v>11</v>
      </c>
      <c r="M5" s="52" t="s">
        <v>11</v>
      </c>
      <c r="N5" s="160"/>
      <c r="O5" s="15"/>
      <c r="P5" s="190">
        <f>J17</f>
        <v>20.471567267683774</v>
      </c>
      <c r="Q5" s="122"/>
    </row>
    <row r="6" spans="1:17" ht="12.75" customHeight="1" x14ac:dyDescent="0.2">
      <c r="B6" s="100" t="s">
        <v>11</v>
      </c>
      <c r="C6" s="2"/>
      <c r="D6" s="2"/>
      <c r="E6" s="2"/>
      <c r="F6" s="44" t="s">
        <v>11</v>
      </c>
      <c r="G6" s="43"/>
      <c r="H6" s="2"/>
      <c r="I6" s="100" t="s">
        <v>11</v>
      </c>
      <c r="J6" s="2"/>
      <c r="K6" s="2"/>
      <c r="N6" s="160"/>
      <c r="O6" s="15"/>
      <c r="P6" s="14" t="s">
        <v>5</v>
      </c>
      <c r="Q6" s="122"/>
    </row>
    <row r="7" spans="1:17" ht="13.5" thickBot="1" x14ac:dyDescent="0.25">
      <c r="A7" s="156"/>
      <c r="B7" s="189" t="s">
        <v>125</v>
      </c>
      <c r="C7" s="154"/>
      <c r="D7" s="81"/>
      <c r="H7" s="43"/>
      <c r="I7" s="90" t="s">
        <v>77</v>
      </c>
      <c r="J7" s="2"/>
      <c r="K7" s="2"/>
      <c r="L7" s="26" t="s">
        <v>76</v>
      </c>
      <c r="N7" s="160">
        <f>N22</f>
        <v>35.487622099149398</v>
      </c>
      <c r="O7" s="16" t="s">
        <v>75</v>
      </c>
      <c r="P7" s="9"/>
      <c r="Q7" s="122">
        <f>SUM(P8:P11)</f>
        <v>40.943134535367548</v>
      </c>
    </row>
    <row r="8" spans="1:17" ht="13.5" thickTop="1" x14ac:dyDescent="0.2">
      <c r="A8" s="137"/>
      <c r="B8" s="187" t="s">
        <v>112</v>
      </c>
      <c r="C8" s="141"/>
      <c r="D8" s="81"/>
      <c r="H8" s="98"/>
      <c r="I8" s="84" t="s">
        <v>61</v>
      </c>
      <c r="J8" s="97" t="s">
        <v>60</v>
      </c>
      <c r="K8" s="2"/>
      <c r="L8" s="24">
        <f>SUM(P8:P40)/12</f>
        <v>18.083217753120671</v>
      </c>
      <c r="M8" s="23" t="s">
        <v>21</v>
      </c>
      <c r="N8" s="160"/>
      <c r="O8" s="15"/>
      <c r="P8" s="161">
        <f>J17</f>
        <v>20.471567267683774</v>
      </c>
      <c r="Q8" s="122" t="s">
        <v>121</v>
      </c>
    </row>
    <row r="9" spans="1:17" x14ac:dyDescent="0.2">
      <c r="A9" s="137"/>
      <c r="B9" s="186">
        <v>144.19999999999999</v>
      </c>
      <c r="C9" s="144" t="s">
        <v>73</v>
      </c>
      <c r="D9" s="41"/>
      <c r="H9" s="80" t="s">
        <v>57</v>
      </c>
      <c r="I9" s="71">
        <f>984/B9</f>
        <v>6.8238557558945914</v>
      </c>
      <c r="J9" s="70">
        <f t="shared" ref="J9:J22" si="0">12*I9</f>
        <v>81.886269070735096</v>
      </c>
      <c r="K9" s="43"/>
      <c r="L9" s="24">
        <f>SUM(P8:P40)</f>
        <v>216.99861303744805</v>
      </c>
      <c r="M9" s="23" t="s">
        <v>19</v>
      </c>
      <c r="N9" s="160" t="s">
        <v>11</v>
      </c>
      <c r="O9" s="15"/>
      <c r="P9" s="14" t="s">
        <v>5</v>
      </c>
      <c r="Q9" s="122"/>
    </row>
    <row r="10" spans="1:17" ht="13.5" thickBot="1" x14ac:dyDescent="0.25">
      <c r="A10" s="137"/>
      <c r="B10" s="151" t="s">
        <v>11</v>
      </c>
      <c r="C10" s="141"/>
      <c r="D10" s="81"/>
      <c r="H10" s="75" t="s">
        <v>54</v>
      </c>
      <c r="I10" s="71">
        <f>3*I13</f>
        <v>5.1178918169209435</v>
      </c>
      <c r="J10" s="70">
        <f t="shared" si="0"/>
        <v>61.414701803051322</v>
      </c>
      <c r="K10" s="43"/>
      <c r="L10" s="26" t="s">
        <v>11</v>
      </c>
      <c r="N10" s="160">
        <f>N22</f>
        <v>35.487622099149398</v>
      </c>
      <c r="O10" s="16" t="s">
        <v>72</v>
      </c>
      <c r="P10" s="9"/>
      <c r="Q10" s="122"/>
    </row>
    <row r="11" spans="1:17" x14ac:dyDescent="0.2">
      <c r="A11" s="137"/>
      <c r="B11" s="150" t="s">
        <v>11</v>
      </c>
      <c r="C11" s="141"/>
      <c r="D11" s="81"/>
      <c r="H11" s="75" t="s">
        <v>52</v>
      </c>
      <c r="I11" s="71">
        <f>5*I14</f>
        <v>4.2649098474341196</v>
      </c>
      <c r="J11" s="70">
        <f t="shared" si="0"/>
        <v>51.178918169209439</v>
      </c>
      <c r="K11" s="43"/>
      <c r="L11" s="53" t="s">
        <v>11</v>
      </c>
      <c r="M11" s="52" t="s">
        <v>11</v>
      </c>
      <c r="N11" s="160"/>
      <c r="O11" s="15"/>
      <c r="P11" s="161">
        <f>J17</f>
        <v>20.471567267683774</v>
      </c>
      <c r="Q11" s="122"/>
    </row>
    <row r="12" spans="1:17" x14ac:dyDescent="0.2">
      <c r="A12" s="137"/>
      <c r="B12" s="187" t="s">
        <v>11</v>
      </c>
      <c r="C12" s="141"/>
      <c r="D12" s="81"/>
      <c r="H12" s="68" t="s">
        <v>69</v>
      </c>
      <c r="I12" s="93">
        <f>I9/2</f>
        <v>3.4119278779472957</v>
      </c>
      <c r="J12" s="147">
        <f t="shared" si="0"/>
        <v>40.943134535367548</v>
      </c>
      <c r="K12" s="43" t="s">
        <v>11</v>
      </c>
      <c r="N12" s="160"/>
      <c r="O12" s="15"/>
      <c r="P12" s="14" t="s">
        <v>5</v>
      </c>
      <c r="Q12" s="122"/>
    </row>
    <row r="13" spans="1:17" ht="13.5" thickBot="1" x14ac:dyDescent="0.25">
      <c r="A13" s="137"/>
      <c r="B13" s="188" t="s">
        <v>124</v>
      </c>
      <c r="C13" s="141"/>
      <c r="D13" s="81"/>
      <c r="H13" s="75" t="s">
        <v>44</v>
      </c>
      <c r="I13" s="71">
        <f>I12/2</f>
        <v>1.7059639389736478</v>
      </c>
      <c r="J13" s="70">
        <f t="shared" si="0"/>
        <v>20.471567267683774</v>
      </c>
      <c r="K13" s="43" t="s">
        <v>11</v>
      </c>
      <c r="L13" s="26" t="s">
        <v>67</v>
      </c>
      <c r="N13" s="160">
        <f>N22</f>
        <v>35.487622099149398</v>
      </c>
      <c r="O13" s="16" t="s">
        <v>66</v>
      </c>
      <c r="P13" s="9"/>
      <c r="Q13" s="122">
        <f>SUM(P14:P17)</f>
        <v>40.943134535367548</v>
      </c>
    </row>
    <row r="14" spans="1:17" x14ac:dyDescent="0.2">
      <c r="A14" s="137"/>
      <c r="B14" s="187" t="s">
        <v>123</v>
      </c>
      <c r="C14" s="141"/>
      <c r="D14" s="81"/>
      <c r="H14" s="68" t="s">
        <v>65</v>
      </c>
      <c r="I14" s="67">
        <f>I13/2</f>
        <v>0.85298196948682392</v>
      </c>
      <c r="J14" s="76">
        <f t="shared" si="0"/>
        <v>10.235783633841887</v>
      </c>
      <c r="K14" s="43"/>
      <c r="L14" s="24">
        <f>SUM(P14:P40)/12</f>
        <v>14.671289875173374</v>
      </c>
      <c r="M14" s="23" t="s">
        <v>21</v>
      </c>
      <c r="N14" s="160"/>
      <c r="O14" s="15"/>
      <c r="P14" s="161">
        <f>J17</f>
        <v>20.471567267683774</v>
      </c>
      <c r="Q14" s="122" t="s">
        <v>121</v>
      </c>
    </row>
    <row r="15" spans="1:17" ht="13.5" thickBot="1" x14ac:dyDescent="0.25">
      <c r="A15" s="137"/>
      <c r="B15" s="187" t="s">
        <v>107</v>
      </c>
      <c r="C15" s="141"/>
      <c r="D15" s="81"/>
      <c r="E15" s="26"/>
      <c r="F15" s="90" t="s">
        <v>63</v>
      </c>
      <c r="G15" s="89"/>
      <c r="H15" s="72">
        <v>0.5</v>
      </c>
      <c r="I15" s="71">
        <f>I9/2</f>
        <v>3.4119278779472957</v>
      </c>
      <c r="J15" s="152">
        <f t="shared" si="0"/>
        <v>40.943134535367548</v>
      </c>
      <c r="K15" s="2"/>
      <c r="L15" s="24">
        <f>SUM(P14:P40)</f>
        <v>176.05547850208049</v>
      </c>
      <c r="M15" s="23" t="s">
        <v>19</v>
      </c>
      <c r="N15" s="160"/>
      <c r="O15" s="15"/>
      <c r="P15" s="14" t="s">
        <v>5</v>
      </c>
      <c r="Q15" s="122"/>
    </row>
    <row r="16" spans="1:17" ht="14.25" thickTop="1" thickBot="1" x14ac:dyDescent="0.25">
      <c r="A16" s="137"/>
      <c r="B16" s="186">
        <v>0.95699999999999996</v>
      </c>
      <c r="C16" s="144" t="s">
        <v>106</v>
      </c>
      <c r="D16" s="86"/>
      <c r="E16" s="85" t="s">
        <v>11</v>
      </c>
      <c r="F16" s="84" t="s">
        <v>61</v>
      </c>
      <c r="G16" s="83" t="s">
        <v>60</v>
      </c>
      <c r="H16" s="72">
        <v>0.3</v>
      </c>
      <c r="I16" s="71">
        <f>0.3*I9</f>
        <v>2.0471567267683772</v>
      </c>
      <c r="J16" s="70">
        <f t="shared" si="0"/>
        <v>24.565880721220527</v>
      </c>
      <c r="K16" s="2"/>
      <c r="L16" s="26" t="s">
        <v>11</v>
      </c>
      <c r="N16" s="160">
        <f>N22</f>
        <v>35.487622099149398</v>
      </c>
      <c r="O16" s="16" t="s">
        <v>59</v>
      </c>
      <c r="P16" s="9"/>
      <c r="Q16" s="122"/>
    </row>
    <row r="17" spans="1:17" x14ac:dyDescent="0.2">
      <c r="A17" s="137"/>
      <c r="B17" s="142" t="s">
        <v>11</v>
      </c>
      <c r="C17" s="141"/>
      <c r="D17" s="81"/>
      <c r="E17" s="80" t="s">
        <v>57</v>
      </c>
      <c r="F17" s="71">
        <f>11810*B16/B9/12</f>
        <v>6.531536061026352</v>
      </c>
      <c r="G17" s="70">
        <f>11810*B16/B9</f>
        <v>78.378432732316227</v>
      </c>
      <c r="H17" s="72">
        <v>0.25</v>
      </c>
      <c r="I17" s="71">
        <f>0.25*I9</f>
        <v>1.7059639389736478</v>
      </c>
      <c r="J17" s="152">
        <f t="shared" si="0"/>
        <v>20.471567267683774</v>
      </c>
      <c r="K17" s="2"/>
      <c r="L17" s="53" t="s">
        <v>11</v>
      </c>
      <c r="M17" s="52" t="s">
        <v>11</v>
      </c>
      <c r="N17" s="160"/>
      <c r="O17" s="15"/>
      <c r="P17" s="161">
        <f>J17</f>
        <v>20.471567267683774</v>
      </c>
      <c r="Q17" s="122"/>
    </row>
    <row r="18" spans="1:17" x14ac:dyDescent="0.2">
      <c r="A18" s="137"/>
      <c r="B18" s="140" t="s">
        <v>104</v>
      </c>
      <c r="C18" s="139" t="s">
        <v>55</v>
      </c>
      <c r="D18" s="78"/>
      <c r="E18" s="75" t="s">
        <v>54</v>
      </c>
      <c r="F18" s="71">
        <f>F22+F20</f>
        <v>4.8986520457697642</v>
      </c>
      <c r="G18" s="70">
        <f>G22+G20</f>
        <v>58.16667153559689</v>
      </c>
      <c r="H18" s="77">
        <v>0.2</v>
      </c>
      <c r="I18" s="67">
        <f>0.2*I9</f>
        <v>1.3647711511789185</v>
      </c>
      <c r="J18" s="147">
        <f t="shared" si="0"/>
        <v>16.377253814147021</v>
      </c>
      <c r="K18" s="2"/>
      <c r="N18" s="160"/>
      <c r="O18" s="15"/>
      <c r="P18" s="14" t="s">
        <v>5</v>
      </c>
      <c r="Q18" s="122"/>
    </row>
    <row r="19" spans="1:17" ht="13.5" thickBot="1" x14ac:dyDescent="0.25">
      <c r="A19" s="137"/>
      <c r="B19" s="184" t="s">
        <v>53</v>
      </c>
      <c r="C19" s="182">
        <v>0.94199999999999995</v>
      </c>
      <c r="D19" s="59"/>
      <c r="E19" s="75" t="s">
        <v>52</v>
      </c>
      <c r="F19" s="71">
        <f>F22/2*5</f>
        <v>4.0822100381414703</v>
      </c>
      <c r="G19" s="70">
        <f>G22/2*5</f>
        <v>48.986520457697644</v>
      </c>
      <c r="H19" s="72">
        <v>0.15</v>
      </c>
      <c r="I19" s="71">
        <f>0.15*I9</f>
        <v>1.0235783633841886</v>
      </c>
      <c r="J19" s="152">
        <f t="shared" si="0"/>
        <v>12.282940360610263</v>
      </c>
      <c r="K19" s="2" t="s">
        <v>11</v>
      </c>
      <c r="L19" s="26" t="s">
        <v>51</v>
      </c>
      <c r="N19" s="160">
        <f>N22</f>
        <v>35.487622099149398</v>
      </c>
      <c r="O19" s="16" t="s">
        <v>50</v>
      </c>
      <c r="P19" s="9"/>
      <c r="Q19" s="122">
        <f>SUM(P20:P23)</f>
        <v>40.943134535367548</v>
      </c>
    </row>
    <row r="20" spans="1:17" x14ac:dyDescent="0.2">
      <c r="A20" s="137"/>
      <c r="B20" s="185" t="s">
        <v>49</v>
      </c>
      <c r="C20" s="182">
        <v>0.95</v>
      </c>
      <c r="D20" s="59"/>
      <c r="E20" s="68" t="s">
        <v>48</v>
      </c>
      <c r="F20" s="73">
        <f>F17/2</f>
        <v>3.265768030513176</v>
      </c>
      <c r="G20" s="66">
        <f>11810*B16/B9/2.032</f>
        <v>38.57206335251783</v>
      </c>
      <c r="H20" s="72">
        <v>0.1</v>
      </c>
      <c r="I20" s="71">
        <f>0.1*I9</f>
        <v>0.68238557558945923</v>
      </c>
      <c r="J20" s="152">
        <f t="shared" si="0"/>
        <v>8.1886269070735107</v>
      </c>
      <c r="K20" s="2"/>
      <c r="L20" s="24">
        <f>SUM(P20:P40)/12</f>
        <v>11.259361997226078</v>
      </c>
      <c r="M20" s="23" t="s">
        <v>21</v>
      </c>
      <c r="N20" s="160"/>
      <c r="O20" s="15"/>
      <c r="P20" s="161">
        <f>J17</f>
        <v>20.471567267683774</v>
      </c>
      <c r="Q20" s="122" t="s">
        <v>121</v>
      </c>
    </row>
    <row r="21" spans="1:17" x14ac:dyDescent="0.2">
      <c r="A21" s="137"/>
      <c r="B21" s="184" t="s">
        <v>47</v>
      </c>
      <c r="C21" s="182">
        <v>0.95699999999999996</v>
      </c>
      <c r="D21" s="59"/>
      <c r="E21" s="68" t="s">
        <v>46</v>
      </c>
      <c r="F21" s="67" t="s">
        <v>11</v>
      </c>
      <c r="G21" s="66">
        <f>11810*0.95/B9/2.029</f>
        <v>38.346541035703524</v>
      </c>
      <c r="H21" s="65">
        <v>0.08</v>
      </c>
      <c r="I21" s="64">
        <f>0.08*I9</f>
        <v>0.54590846047156727</v>
      </c>
      <c r="J21" s="63">
        <f t="shared" si="0"/>
        <v>6.5509015256588068</v>
      </c>
      <c r="K21" s="2"/>
      <c r="L21" s="24">
        <f>SUM(P20:P40)</f>
        <v>135.11234396671293</v>
      </c>
      <c r="M21" s="23" t="s">
        <v>19</v>
      </c>
      <c r="N21" s="160"/>
      <c r="O21" s="15"/>
      <c r="P21" s="14" t="s">
        <v>5</v>
      </c>
      <c r="Q21" s="8"/>
    </row>
    <row r="22" spans="1:17" ht="13.5" thickBot="1" x14ac:dyDescent="0.25">
      <c r="A22" s="132"/>
      <c r="B22" s="183" t="s">
        <v>45</v>
      </c>
      <c r="C22" s="182">
        <v>0.96199999999999997</v>
      </c>
      <c r="D22" s="59"/>
      <c r="E22" s="58" t="s">
        <v>44</v>
      </c>
      <c r="F22" s="55">
        <f>F17/4</f>
        <v>1.632884015256588</v>
      </c>
      <c r="G22" s="55">
        <f>G17/4</f>
        <v>19.594608183079057</v>
      </c>
      <c r="H22" s="57">
        <v>7.0000000000000007E-2</v>
      </c>
      <c r="I22" s="56">
        <f>0.07*I9</f>
        <v>0.47766990291262146</v>
      </c>
      <c r="J22" s="55">
        <f t="shared" si="0"/>
        <v>5.7320388349514575</v>
      </c>
      <c r="K22" s="54"/>
      <c r="L22" s="53" t="s">
        <v>11</v>
      </c>
      <c r="M22" s="52" t="s">
        <v>11</v>
      </c>
      <c r="N22" s="160">
        <f>N25</f>
        <v>35.487622099149398</v>
      </c>
      <c r="O22" s="16" t="s">
        <v>43</v>
      </c>
      <c r="P22" s="9"/>
      <c r="Q22" s="8" t="s">
        <v>11</v>
      </c>
    </row>
    <row r="23" spans="1:17" ht="13.5" thickTop="1" x14ac:dyDescent="0.2">
      <c r="A23" s="51" t="s">
        <v>100</v>
      </c>
      <c r="B23" s="50"/>
      <c r="C23" s="50"/>
      <c r="D23" s="50"/>
      <c r="E23" s="49"/>
      <c r="F23" s="48" t="s">
        <v>41</v>
      </c>
      <c r="G23" s="47"/>
      <c r="H23" s="2"/>
      <c r="I23" s="2"/>
      <c r="J23" s="2"/>
      <c r="K23" s="2"/>
      <c r="N23" s="160"/>
      <c r="O23" s="15"/>
      <c r="P23" s="161">
        <f>J17</f>
        <v>20.471567267683774</v>
      </c>
      <c r="Q23" s="8"/>
    </row>
    <row r="24" spans="1:17" x14ac:dyDescent="0.2">
      <c r="B24" s="3" t="s">
        <v>122</v>
      </c>
      <c r="C24" s="3"/>
      <c r="D24" s="3"/>
      <c r="G24" s="2"/>
      <c r="H24" s="2"/>
      <c r="I24" s="2"/>
      <c r="J24" s="2"/>
      <c r="K24" s="2"/>
      <c r="N24" s="160"/>
      <c r="O24" s="15"/>
      <c r="P24" s="14" t="s">
        <v>5</v>
      </c>
      <c r="Q24" s="8"/>
    </row>
    <row r="25" spans="1:17" ht="13.5" thickBot="1" x14ac:dyDescent="0.25">
      <c r="B25" s="3"/>
      <c r="C25" s="3" t="s">
        <v>11</v>
      </c>
      <c r="D25" s="3"/>
      <c r="G25" s="2"/>
      <c r="H25" s="2"/>
      <c r="I25" s="2"/>
      <c r="J25" s="2"/>
      <c r="K25" s="5" t="s">
        <v>11</v>
      </c>
      <c r="L25" s="26" t="s">
        <v>38</v>
      </c>
      <c r="N25" s="160">
        <f>M28-0.6</f>
        <v>35.487622099149398</v>
      </c>
      <c r="O25" s="16" t="s">
        <v>37</v>
      </c>
      <c r="P25" s="9"/>
      <c r="Q25" s="122">
        <f>SUM(P26:P29)</f>
        <v>40.943134535367548</v>
      </c>
    </row>
    <row r="26" spans="1:17" x14ac:dyDescent="0.2">
      <c r="B26" s="2"/>
      <c r="C26" s="2"/>
      <c r="D26" s="2"/>
      <c r="E26" s="2"/>
      <c r="F26" s="2" t="s">
        <v>11</v>
      </c>
      <c r="G26" s="2"/>
      <c r="H26" s="2"/>
      <c r="I26" s="2"/>
      <c r="J26" s="2"/>
      <c r="K26" s="2"/>
      <c r="L26" s="24">
        <f>SUM(P26:P39)/12</f>
        <v>7.8474341192787813</v>
      </c>
      <c r="M26" s="23" t="s">
        <v>21</v>
      </c>
      <c r="N26" s="32"/>
      <c r="O26" s="15"/>
      <c r="P26" s="161">
        <f>J17</f>
        <v>20.471567267683774</v>
      </c>
      <c r="Q26" s="181" t="s">
        <v>121</v>
      </c>
    </row>
    <row r="27" spans="1:17" x14ac:dyDescent="0.2">
      <c r="B27" s="2" t="s">
        <v>11</v>
      </c>
      <c r="C27" s="2"/>
      <c r="D27" s="180"/>
      <c r="E27" s="179" t="s">
        <v>36</v>
      </c>
      <c r="F27" s="178" t="s">
        <v>120</v>
      </c>
      <c r="G27" s="177"/>
      <c r="H27" s="177"/>
      <c r="I27" s="176">
        <f>B9</f>
        <v>144.19999999999999</v>
      </c>
      <c r="J27" s="176" t="s">
        <v>34</v>
      </c>
      <c r="K27" s="2"/>
      <c r="L27" s="24">
        <f>SUM(P26:P39)</f>
        <v>94.169209431345379</v>
      </c>
      <c r="M27" s="23" t="s">
        <v>19</v>
      </c>
      <c r="N27" s="32"/>
      <c r="O27" s="15"/>
      <c r="P27" s="14" t="s">
        <v>5</v>
      </c>
      <c r="Q27" s="8"/>
    </row>
    <row r="28" spans="1:17" ht="13.5" thickBot="1" x14ac:dyDescent="0.25">
      <c r="B28" s="2"/>
      <c r="C28" s="2"/>
      <c r="D28" s="2"/>
      <c r="E28" s="40"/>
      <c r="F28" s="17" t="s">
        <v>33</v>
      </c>
      <c r="G28" s="175">
        <f>L26</f>
        <v>7.8474341192787813</v>
      </c>
      <c r="H28" s="174" t="s">
        <v>32</v>
      </c>
      <c r="I28" s="173">
        <f>SUM(G31:L31)</f>
        <v>94.169209431345365</v>
      </c>
      <c r="J28" s="172" t="s">
        <v>31</v>
      </c>
      <c r="K28" s="171"/>
      <c r="L28" s="34"/>
      <c r="M28" s="170">
        <f>K29-0.16</f>
        <v>36.087622099149399</v>
      </c>
      <c r="N28" s="32">
        <f>M28</f>
        <v>36.087622099149399</v>
      </c>
      <c r="O28" s="16" t="s">
        <v>30</v>
      </c>
      <c r="P28" s="169"/>
      <c r="Q28" s="8" t="s">
        <v>11</v>
      </c>
    </row>
    <row r="29" spans="1:17" x14ac:dyDescent="0.2">
      <c r="B29" s="2" t="s">
        <v>11</v>
      </c>
      <c r="C29" s="2"/>
      <c r="D29" s="2"/>
      <c r="E29" s="168"/>
      <c r="F29" s="167" t="s">
        <v>97</v>
      </c>
      <c r="G29" s="166">
        <f>0.065*G20+G20</f>
        <v>41.07924747043149</v>
      </c>
      <c r="H29" s="32">
        <f>G21</f>
        <v>38.346541035703524</v>
      </c>
      <c r="I29" s="160">
        <f>-0.046*G20+G20</f>
        <v>36.797748438302008</v>
      </c>
      <c r="J29" s="160">
        <f>-0.005*I29+I29</f>
        <v>36.613759696110499</v>
      </c>
      <c r="K29" s="160">
        <f>-0.01*J29+J29</f>
        <v>36.247622099149396</v>
      </c>
      <c r="L29" s="32">
        <f>N28</f>
        <v>36.087622099149399</v>
      </c>
      <c r="M29" s="165">
        <f>N25</f>
        <v>35.487622099149398</v>
      </c>
      <c r="N29" s="32"/>
      <c r="O29" s="15"/>
      <c r="P29" s="161">
        <f>J17</f>
        <v>20.471567267683774</v>
      </c>
      <c r="Q29" s="8"/>
    </row>
    <row r="30" spans="1:17" ht="13.5" thickBot="1" x14ac:dyDescent="0.25">
      <c r="B30" s="2"/>
      <c r="C30" s="2"/>
      <c r="D30" s="2"/>
      <c r="E30" s="2"/>
      <c r="F30" s="2"/>
      <c r="G30" s="30" t="s">
        <v>28</v>
      </c>
      <c r="H30" s="30" t="s">
        <v>27</v>
      </c>
      <c r="I30" s="29" t="s">
        <v>26</v>
      </c>
      <c r="J30" s="29" t="s">
        <v>25</v>
      </c>
      <c r="K30" s="107"/>
      <c r="L30" s="107"/>
      <c r="N30" s="32"/>
      <c r="O30" s="15"/>
      <c r="P30" s="14" t="s">
        <v>5</v>
      </c>
      <c r="Q30" s="8"/>
    </row>
    <row r="31" spans="1:17" ht="14.25" thickTop="1" thickBot="1" x14ac:dyDescent="0.25">
      <c r="B31" s="159"/>
      <c r="C31" s="159"/>
      <c r="D31" s="159"/>
      <c r="E31" s="159"/>
      <c r="F31" s="164" t="s">
        <v>119</v>
      </c>
      <c r="G31" s="163">
        <f>J19</f>
        <v>12.282940360610263</v>
      </c>
      <c r="H31" s="163">
        <f>J20</f>
        <v>8.1886269070735107</v>
      </c>
      <c r="I31" s="163">
        <f>J18</f>
        <v>16.377253814147021</v>
      </c>
      <c r="J31" s="122">
        <f>J18</f>
        <v>16.377253814147021</v>
      </c>
      <c r="K31" s="163">
        <f>P29</f>
        <v>20.471567267683774</v>
      </c>
      <c r="L31" s="163">
        <f>P26</f>
        <v>20.471567267683774</v>
      </c>
      <c r="N31" s="32">
        <f>K29</f>
        <v>36.247622099149396</v>
      </c>
      <c r="O31" s="16" t="s">
        <v>22</v>
      </c>
      <c r="P31" s="9"/>
      <c r="Q31" s="122" t="s">
        <v>11</v>
      </c>
    </row>
    <row r="32" spans="1:17" x14ac:dyDescent="0.2">
      <c r="G32" s="2" t="s">
        <v>11</v>
      </c>
      <c r="H32" s="2" t="s">
        <v>11</v>
      </c>
      <c r="I32" s="2" t="s">
        <v>11</v>
      </c>
      <c r="J32" s="2" t="s">
        <v>11</v>
      </c>
      <c r="K32" s="2" t="s">
        <v>11</v>
      </c>
      <c r="L32" s="53" t="s">
        <v>11</v>
      </c>
      <c r="M32" s="52" t="s">
        <v>11</v>
      </c>
      <c r="N32" s="32"/>
      <c r="O32" s="15"/>
      <c r="P32" s="161">
        <f>J31</f>
        <v>16.377253814147021</v>
      </c>
      <c r="Q32" s="8"/>
    </row>
    <row r="33" spans="2:17" x14ac:dyDescent="0.2">
      <c r="B33" s="48" t="s">
        <v>94</v>
      </c>
      <c r="G33" s="2"/>
      <c r="H33" s="2"/>
      <c r="I33" s="120"/>
      <c r="J33" s="2"/>
      <c r="K33" s="2"/>
      <c r="N33" s="32"/>
      <c r="O33" s="15"/>
      <c r="P33" s="14" t="s">
        <v>5</v>
      </c>
      <c r="Q33" s="8"/>
    </row>
    <row r="34" spans="2:17" ht="13.5" thickBot="1" x14ac:dyDescent="0.25">
      <c r="B34" s="48" t="s">
        <v>118</v>
      </c>
      <c r="G34" s="2"/>
      <c r="H34" s="2"/>
      <c r="I34" s="2"/>
      <c r="J34" s="2"/>
      <c r="K34" s="2"/>
      <c r="N34" s="32">
        <f>J29</f>
        <v>36.613759696110499</v>
      </c>
      <c r="O34" s="16" t="s">
        <v>17</v>
      </c>
      <c r="P34" s="9"/>
      <c r="Q34" s="8"/>
    </row>
    <row r="35" spans="2:17" x14ac:dyDescent="0.2">
      <c r="B35" s="48" t="s">
        <v>92</v>
      </c>
      <c r="G35" s="2"/>
      <c r="H35" s="2"/>
      <c r="I35" s="2"/>
      <c r="J35" s="2"/>
      <c r="K35" s="2"/>
      <c r="N35" s="32"/>
      <c r="O35" s="15"/>
      <c r="P35" s="161">
        <f>I31</f>
        <v>16.377253814147021</v>
      </c>
      <c r="Q35" s="8"/>
    </row>
    <row r="36" spans="2:17" ht="13.5" thickBot="1" x14ac:dyDescent="0.25">
      <c r="B36" s="48" t="s">
        <v>91</v>
      </c>
      <c r="C36" s="2"/>
      <c r="D36" s="2"/>
      <c r="G36" s="102" t="s">
        <v>117</v>
      </c>
      <c r="H36" s="2"/>
      <c r="I36" s="2"/>
      <c r="J36" s="2"/>
      <c r="K36" s="2"/>
      <c r="N36" s="32">
        <f>I29</f>
        <v>36.797748438302008</v>
      </c>
      <c r="O36" s="16" t="s">
        <v>15</v>
      </c>
      <c r="P36" s="9" t="s">
        <v>5</v>
      </c>
      <c r="Q36" s="8"/>
    </row>
    <row r="37" spans="2:17" ht="13.5" thickBot="1" x14ac:dyDescent="0.25">
      <c r="B37" s="2"/>
      <c r="C37" s="26" t="s">
        <v>89</v>
      </c>
      <c r="D37" s="26"/>
      <c r="E37" s="2"/>
      <c r="F37" s="30"/>
      <c r="G37" s="30"/>
      <c r="H37" s="30"/>
      <c r="I37" s="162">
        <f>11810*0.95/B9/2.029</f>
        <v>38.346541035703524</v>
      </c>
      <c r="J37" s="118" t="s">
        <v>31</v>
      </c>
      <c r="K37" s="2"/>
      <c r="L37" s="1" t="s">
        <v>11</v>
      </c>
      <c r="N37" s="160"/>
      <c r="O37" s="15"/>
      <c r="P37" s="161">
        <f>H31</f>
        <v>8.1886269070735107</v>
      </c>
      <c r="Q37" s="8"/>
    </row>
    <row r="38" spans="2:17" ht="14.25" thickTop="1" thickBot="1" x14ac:dyDescent="0.25">
      <c r="B38" s="2"/>
      <c r="C38" s="7"/>
      <c r="D38" s="7"/>
      <c r="E38" s="19"/>
      <c r="F38" s="43"/>
      <c r="G38" s="43"/>
      <c r="H38" s="43"/>
      <c r="I38" s="43"/>
      <c r="J38" s="43"/>
      <c r="K38" s="17" t="s">
        <v>88</v>
      </c>
      <c r="L38" s="1" t="s">
        <v>87</v>
      </c>
      <c r="N38" s="160">
        <f>G21</f>
        <v>38.346541035703524</v>
      </c>
      <c r="O38" s="16" t="s">
        <v>10</v>
      </c>
      <c r="P38" s="9" t="s">
        <v>5</v>
      </c>
      <c r="Q38" s="8"/>
    </row>
    <row r="39" spans="2:17" x14ac:dyDescent="0.2">
      <c r="B39" s="2"/>
      <c r="C39" s="117" t="s">
        <v>86</v>
      </c>
      <c r="D39" s="116"/>
      <c r="E39" s="115"/>
      <c r="F39" s="115"/>
      <c r="G39" s="114"/>
      <c r="H39" s="2"/>
      <c r="I39" s="19" t="s">
        <v>85</v>
      </c>
      <c r="J39" s="2"/>
      <c r="K39" s="2"/>
      <c r="N39" s="160"/>
      <c r="O39" s="15"/>
      <c r="P39" s="161">
        <f>J19</f>
        <v>12.282940360610263</v>
      </c>
      <c r="Q39" s="8"/>
    </row>
    <row r="40" spans="2:17" ht="13.5" thickBot="1" x14ac:dyDescent="0.25">
      <c r="B40" s="2"/>
      <c r="C40" s="113" t="s">
        <v>84</v>
      </c>
      <c r="D40" s="112"/>
      <c r="E40" s="111"/>
      <c r="F40" s="110"/>
      <c r="G40" s="109"/>
      <c r="H40" s="2"/>
      <c r="I40" s="2"/>
      <c r="J40" s="13" t="s">
        <v>83</v>
      </c>
      <c r="K40" s="2"/>
      <c r="N40" s="160">
        <f>G29</f>
        <v>41.07924747043149</v>
      </c>
      <c r="O40" s="10" t="s">
        <v>6</v>
      </c>
      <c r="P40" s="9" t="s">
        <v>5</v>
      </c>
      <c r="Q40" s="8"/>
    </row>
    <row r="41" spans="2:17" x14ac:dyDescent="0.2">
      <c r="B41" s="2"/>
      <c r="C41" s="7"/>
      <c r="D41" s="7"/>
      <c r="E41" s="6"/>
      <c r="F41" s="2"/>
      <c r="G41" s="5"/>
      <c r="H41" s="2"/>
      <c r="I41" s="2"/>
      <c r="J41" s="2"/>
      <c r="K41" s="2"/>
    </row>
    <row r="42" spans="2:17" x14ac:dyDescent="0.2">
      <c r="B42" s="4" t="s">
        <v>11</v>
      </c>
      <c r="C42" s="3" t="s">
        <v>11</v>
      </c>
      <c r="D42" s="3"/>
      <c r="E42" s="3"/>
      <c r="F42" s="2"/>
      <c r="G42" s="2"/>
      <c r="H42" s="2"/>
      <c r="I42" s="2"/>
      <c r="J42" s="2"/>
      <c r="K42" s="2"/>
    </row>
    <row r="46" spans="2:17" x14ac:dyDescent="0.2">
      <c r="O46" s="159"/>
    </row>
  </sheetData>
  <pageMargins left="0.5" right="0.25" top="0.5" bottom="0.5" header="0.5" footer="0.5"/>
  <pageSetup scale="85" orientation="landscape" horizontalDpi="360" verticalDpi="360" r:id="rId1"/>
  <headerFooter alignWithMargins="0">
    <oddFooter>&amp;L&amp;D&amp;F</oddFooter>
  </headerFooter>
  <drawing r:id="rId2"/>
  <legacyDrawing r:id="rId3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P45"/>
  <sheetViews>
    <sheetView zoomScale="75" workbookViewId="0">
      <selection activeCell="E2" sqref="E2"/>
    </sheetView>
  </sheetViews>
  <sheetFormatPr defaultRowHeight="12.75" x14ac:dyDescent="0.2"/>
  <cols>
    <col min="1" max="1" width="2.7109375" style="1" customWidth="1"/>
    <col min="2" max="2" width="8.140625" style="1" customWidth="1"/>
    <col min="3" max="3" width="6" style="1" customWidth="1"/>
    <col min="4" max="4" width="10.140625" style="1" bestFit="1" customWidth="1"/>
    <col min="5" max="6" width="9.140625" style="1"/>
    <col min="7" max="7" width="10.140625" style="1" bestFit="1" customWidth="1"/>
    <col min="8" max="9" width="9.140625" style="1"/>
    <col min="10" max="10" width="12.28515625" style="1" bestFit="1" customWidth="1"/>
    <col min="11" max="11" width="7.28515625" style="1" customWidth="1"/>
    <col min="12" max="16384" width="9.140625" style="1"/>
  </cols>
  <sheetData>
    <row r="1" spans="1:16" x14ac:dyDescent="0.2">
      <c r="B1" s="2"/>
      <c r="C1" s="2"/>
      <c r="D1" s="2"/>
      <c r="E1" s="2"/>
      <c r="F1" s="2"/>
      <c r="G1" s="2"/>
      <c r="H1" s="2"/>
      <c r="I1" s="2"/>
      <c r="J1" s="2"/>
      <c r="M1" s="158"/>
    </row>
    <row r="2" spans="1:16" ht="30" x14ac:dyDescent="0.4">
      <c r="B2" s="2"/>
      <c r="C2" s="2"/>
      <c r="D2" s="2"/>
      <c r="E2" s="106" t="s">
        <v>327</v>
      </c>
      <c r="F2" s="2"/>
      <c r="G2" s="2"/>
      <c r="H2" s="2"/>
      <c r="I2" s="2"/>
      <c r="J2" s="2"/>
      <c r="K2" s="90" t="s">
        <v>11</v>
      </c>
      <c r="M2" s="105"/>
      <c r="N2" s="104"/>
    </row>
    <row r="3" spans="1:16" x14ac:dyDescent="0.2">
      <c r="B3" s="2"/>
      <c r="C3" s="2" t="s">
        <v>11</v>
      </c>
      <c r="D3" s="2"/>
      <c r="E3" s="26"/>
      <c r="F3" s="2"/>
      <c r="G3" s="2"/>
      <c r="H3" s="19" t="s">
        <v>11</v>
      </c>
      <c r="I3" s="2"/>
      <c r="J3" s="2"/>
      <c r="K3" s="90"/>
      <c r="M3" s="219"/>
      <c r="N3" s="207"/>
      <c r="O3" s="207"/>
      <c r="P3" s="15"/>
    </row>
    <row r="4" spans="1:16" ht="12.75" customHeight="1" x14ac:dyDescent="0.2">
      <c r="B4" s="2" t="s">
        <v>11</v>
      </c>
      <c r="C4" s="26" t="s">
        <v>186</v>
      </c>
      <c r="D4" s="2"/>
      <c r="E4" s="2"/>
      <c r="F4" s="2"/>
      <c r="G4" s="2"/>
      <c r="H4" s="2"/>
      <c r="I4" s="2"/>
      <c r="J4" s="2"/>
    </row>
    <row r="5" spans="1:16" ht="12.75" customHeight="1" x14ac:dyDescent="0.2">
      <c r="B5" s="2"/>
      <c r="C5" s="26"/>
      <c r="D5" s="2"/>
      <c r="E5" s="2"/>
      <c r="F5" s="2"/>
      <c r="G5" s="2"/>
      <c r="H5" s="2"/>
      <c r="I5" s="2"/>
      <c r="J5" s="2"/>
    </row>
    <row r="6" spans="1:16" ht="13.5" thickBot="1" x14ac:dyDescent="0.25">
      <c r="A6" s="62"/>
      <c r="B6" s="251" t="s">
        <v>78</v>
      </c>
      <c r="C6" s="50"/>
      <c r="D6" s="62"/>
      <c r="G6" s="43"/>
      <c r="H6" s="243" t="s">
        <v>77</v>
      </c>
      <c r="I6" s="2"/>
      <c r="J6" s="2"/>
    </row>
    <row r="7" spans="1:16" ht="14.25" thickTop="1" thickBot="1" x14ac:dyDescent="0.25">
      <c r="A7" s="62"/>
      <c r="B7" s="251" t="s">
        <v>74</v>
      </c>
      <c r="C7" s="50"/>
      <c r="D7" s="62"/>
      <c r="G7" s="98"/>
      <c r="H7" s="84" t="s">
        <v>61</v>
      </c>
      <c r="I7" s="97" t="s">
        <v>60</v>
      </c>
      <c r="J7" s="2"/>
      <c r="K7" s="1" t="s">
        <v>11</v>
      </c>
    </row>
    <row r="8" spans="1:16" ht="13.5" thickBot="1" x14ac:dyDescent="0.25">
      <c r="A8" s="62"/>
      <c r="B8" s="88">
        <v>144.19999999999999</v>
      </c>
      <c r="C8" s="96" t="s">
        <v>73</v>
      </c>
      <c r="D8" s="62"/>
      <c r="G8" s="80" t="s">
        <v>57</v>
      </c>
      <c r="H8" s="71">
        <f>984/B8</f>
        <v>6.8238557558945914</v>
      </c>
      <c r="I8" s="227">
        <f t="shared" ref="I8:I13" si="0">12*H8</f>
        <v>81.886269070735096</v>
      </c>
      <c r="J8" s="213" t="s">
        <v>11</v>
      </c>
      <c r="K8" s="238" t="s">
        <v>11</v>
      </c>
      <c r="L8" s="1" t="s">
        <v>11</v>
      </c>
    </row>
    <row r="9" spans="1:16" x14ac:dyDescent="0.2">
      <c r="A9" s="62"/>
      <c r="B9" s="95" t="s">
        <v>11</v>
      </c>
      <c r="C9" s="50"/>
      <c r="D9" s="62"/>
      <c r="G9" s="75" t="s">
        <v>54</v>
      </c>
      <c r="H9" s="71">
        <f>3*H12</f>
        <v>5.1178918169209435</v>
      </c>
      <c r="I9" s="227">
        <f t="shared" si="0"/>
        <v>61.414701803051322</v>
      </c>
      <c r="J9" s="43"/>
      <c r="K9" s="1" t="s">
        <v>11</v>
      </c>
    </row>
    <row r="10" spans="1:16" x14ac:dyDescent="0.2">
      <c r="A10" s="62"/>
      <c r="B10" s="248" t="s">
        <v>71</v>
      </c>
      <c r="C10" s="50"/>
      <c r="D10" s="62"/>
      <c r="G10" s="75" t="s">
        <v>52</v>
      </c>
      <c r="H10" s="71">
        <f>5*H13</f>
        <v>4.2649098474341196</v>
      </c>
      <c r="I10" s="227">
        <f t="shared" si="0"/>
        <v>51.178918169209439</v>
      </c>
      <c r="J10" s="43"/>
    </row>
    <row r="11" spans="1:16" x14ac:dyDescent="0.2">
      <c r="A11" s="62"/>
      <c r="B11" s="250" t="s">
        <v>70</v>
      </c>
      <c r="C11" s="50"/>
      <c r="D11" s="62"/>
      <c r="G11" s="149" t="s">
        <v>69</v>
      </c>
      <c r="H11" s="67">
        <f>H8/2</f>
        <v>3.4119278779472957</v>
      </c>
      <c r="I11" s="249">
        <f t="shared" si="0"/>
        <v>40.943134535367548</v>
      </c>
      <c r="J11" s="43"/>
      <c r="K11" s="26" t="s">
        <v>11</v>
      </c>
    </row>
    <row r="12" spans="1:16" ht="13.5" thickBot="1" x14ac:dyDescent="0.25">
      <c r="A12" s="62"/>
      <c r="B12" s="248" t="s">
        <v>68</v>
      </c>
      <c r="C12" s="50"/>
      <c r="D12" s="62"/>
      <c r="G12" s="75" t="s">
        <v>44</v>
      </c>
      <c r="H12" s="71">
        <f>H11/2</f>
        <v>1.7059639389736478</v>
      </c>
      <c r="I12" s="234">
        <f t="shared" si="0"/>
        <v>20.471567267683774</v>
      </c>
      <c r="J12" s="43"/>
      <c r="K12" s="247" t="s">
        <v>185</v>
      </c>
      <c r="M12" s="196">
        <f>-0.01*M24+M24</f>
        <v>34.821681161949577</v>
      </c>
      <c r="N12" s="157" t="s">
        <v>184</v>
      </c>
      <c r="O12" s="157"/>
    </row>
    <row r="13" spans="1:16" ht="13.5" thickBot="1" x14ac:dyDescent="0.25">
      <c r="A13" s="62"/>
      <c r="B13" s="88">
        <v>0.93500000000000005</v>
      </c>
      <c r="C13" s="87" t="s">
        <v>62</v>
      </c>
      <c r="D13" s="62"/>
      <c r="G13" s="68" t="s">
        <v>65</v>
      </c>
      <c r="H13" s="67">
        <f>H12/2</f>
        <v>0.85298196948682392</v>
      </c>
      <c r="I13" s="228">
        <f t="shared" si="0"/>
        <v>10.235783633841887</v>
      </c>
      <c r="J13" s="213" t="s">
        <v>181</v>
      </c>
      <c r="K13" s="90" t="s">
        <v>183</v>
      </c>
      <c r="L13" s="1" t="s">
        <v>182</v>
      </c>
      <c r="O13" s="246"/>
      <c r="P13" s="210">
        <f>O16</f>
        <v>40.943134535367548</v>
      </c>
    </row>
    <row r="14" spans="1:16" ht="13.5" thickBot="1" x14ac:dyDescent="0.25">
      <c r="A14" s="62"/>
      <c r="B14" s="245" t="s">
        <v>64</v>
      </c>
      <c r="C14" s="50"/>
      <c r="D14" s="244"/>
      <c r="E14" s="243" t="s">
        <v>63</v>
      </c>
      <c r="F14" s="168"/>
      <c r="G14" s="72">
        <v>0.25</v>
      </c>
      <c r="H14" s="71">
        <f>H12</f>
        <v>1.7059639389736478</v>
      </c>
      <c r="I14" s="234">
        <f>I12</f>
        <v>20.471567267683774</v>
      </c>
      <c r="J14" s="7" t="s">
        <v>181</v>
      </c>
      <c r="K14" s="90" t="s">
        <v>180</v>
      </c>
      <c r="L14" s="242" t="s">
        <v>179</v>
      </c>
      <c r="M14" s="219"/>
      <c r="O14" s="237"/>
    </row>
    <row r="15" spans="1:16" ht="14.25" thickTop="1" thickBot="1" x14ac:dyDescent="0.25">
      <c r="A15" s="62"/>
      <c r="B15" s="88">
        <v>0.94699999999999995</v>
      </c>
      <c r="C15" s="87" t="s">
        <v>62</v>
      </c>
      <c r="D15" s="241" t="s">
        <v>11</v>
      </c>
      <c r="E15" s="240" t="s">
        <v>61</v>
      </c>
      <c r="F15" s="239" t="s">
        <v>60</v>
      </c>
      <c r="G15" s="72">
        <v>0.5</v>
      </c>
      <c r="H15" s="71">
        <f>H13</f>
        <v>0.85298196948682392</v>
      </c>
      <c r="I15" s="234">
        <f>I11</f>
        <v>40.943134535367548</v>
      </c>
      <c r="J15" s="213" t="s">
        <v>178</v>
      </c>
      <c r="K15" s="238">
        <f>SUM(O15:O43)/12</f>
        <v>14.671289875173374</v>
      </c>
      <c r="L15" s="1" t="s">
        <v>177</v>
      </c>
      <c r="M15" s="219"/>
      <c r="O15" s="237"/>
      <c r="P15" s="15"/>
    </row>
    <row r="16" spans="1:16" x14ac:dyDescent="0.2">
      <c r="A16" s="62"/>
      <c r="B16" s="236" t="s">
        <v>58</v>
      </c>
      <c r="C16" s="199"/>
      <c r="D16" s="235" t="s">
        <v>57</v>
      </c>
      <c r="E16" s="67">
        <f>11808*B13/B8/12</f>
        <v>6.3803051317614434</v>
      </c>
      <c r="F16" s="228">
        <f>11808*B13/B8</f>
        <v>76.563661581137325</v>
      </c>
      <c r="G16" s="230" t="s">
        <v>176</v>
      </c>
      <c r="H16" s="71">
        <f>0.1*H8</f>
        <v>0.68238557558945923</v>
      </c>
      <c r="I16" s="227">
        <f t="shared" ref="I16:I21" si="1">12*H16</f>
        <v>8.1886269070735107</v>
      </c>
      <c r="J16" s="7" t="s">
        <v>175</v>
      </c>
      <c r="K16" s="90">
        <v>50</v>
      </c>
      <c r="L16" s="1" t="s">
        <v>174</v>
      </c>
      <c r="M16" s="219"/>
      <c r="N16" s="15"/>
      <c r="O16" s="201">
        <f>I15</f>
        <v>40.943134535367548</v>
      </c>
      <c r="P16" s="15"/>
    </row>
    <row r="17" spans="1:16" x14ac:dyDescent="0.2">
      <c r="A17" s="62"/>
      <c r="B17" s="226" t="s">
        <v>56</v>
      </c>
      <c r="C17" s="225" t="s">
        <v>55</v>
      </c>
      <c r="D17" s="68" t="s">
        <v>54</v>
      </c>
      <c r="E17" s="67">
        <f>E20+E19</f>
        <v>4.7852288488210828</v>
      </c>
      <c r="F17" s="228">
        <f>F20+F19</f>
        <v>57.422746185852994</v>
      </c>
      <c r="G17" s="230" t="s">
        <v>173</v>
      </c>
      <c r="H17" s="71">
        <f>0.15*H8</f>
        <v>1.0235783633841886</v>
      </c>
      <c r="I17" s="234">
        <f t="shared" si="1"/>
        <v>12.282940360610263</v>
      </c>
      <c r="J17" s="7" t="s">
        <v>172</v>
      </c>
      <c r="K17" s="90">
        <f>K15*12/P13*3.12</f>
        <v>13.416000000000002</v>
      </c>
      <c r="L17" s="1" t="s">
        <v>171</v>
      </c>
      <c r="M17" s="219"/>
      <c r="N17" s="15"/>
      <c r="O17" s="209" t="s">
        <v>5</v>
      </c>
      <c r="P17" s="15"/>
    </row>
    <row r="18" spans="1:16" ht="13.5" thickBot="1" x14ac:dyDescent="0.25">
      <c r="A18" s="62"/>
      <c r="B18" s="229" t="s">
        <v>53</v>
      </c>
      <c r="C18" s="225">
        <v>0.92</v>
      </c>
      <c r="D18" s="68" t="s">
        <v>52</v>
      </c>
      <c r="E18" s="67">
        <f>E20/2*5</f>
        <v>3.987690707350902</v>
      </c>
      <c r="F18" s="228">
        <f>F20/2*5</f>
        <v>47.852288488210831</v>
      </c>
      <c r="G18" s="230" t="s">
        <v>170</v>
      </c>
      <c r="H18" s="71">
        <f>0.2*H8</f>
        <v>1.3647711511789185</v>
      </c>
      <c r="I18" s="234">
        <f t="shared" si="1"/>
        <v>16.377253814147021</v>
      </c>
      <c r="J18" s="7" t="s">
        <v>169</v>
      </c>
      <c r="K18" s="1" t="s">
        <v>168</v>
      </c>
      <c r="M18" s="196">
        <f>-0.018*M24+M24</f>
        <v>34.54029383942877</v>
      </c>
      <c r="N18" s="157" t="s">
        <v>167</v>
      </c>
      <c r="O18" s="103"/>
      <c r="P18" s="15"/>
    </row>
    <row r="19" spans="1:16" x14ac:dyDescent="0.2">
      <c r="A19" s="62"/>
      <c r="B19" s="233" t="s">
        <v>49</v>
      </c>
      <c r="C19" s="225">
        <v>0.93500000000000005</v>
      </c>
      <c r="D19" s="232" t="s">
        <v>69</v>
      </c>
      <c r="E19" s="73">
        <f>E16/2</f>
        <v>3.1901525658807217</v>
      </c>
      <c r="F19" s="231">
        <f>E16*12/2</f>
        <v>38.281830790568662</v>
      </c>
      <c r="G19" s="230" t="s">
        <v>166</v>
      </c>
      <c r="H19" s="71">
        <f>0.3*H8</f>
        <v>2.0471567267683772</v>
      </c>
      <c r="I19" s="227">
        <f t="shared" si="1"/>
        <v>24.565880721220527</v>
      </c>
      <c r="J19" s="7" t="s">
        <v>165</v>
      </c>
      <c r="K19" s="90">
        <v>25</v>
      </c>
      <c r="L19" s="1" t="s">
        <v>164</v>
      </c>
      <c r="M19" s="219"/>
      <c r="N19" s="15"/>
      <c r="O19" s="201">
        <f>I14</f>
        <v>20.471567267683774</v>
      </c>
      <c r="P19" s="210">
        <f>SUM(O19:O22)</f>
        <v>40.943134535367548</v>
      </c>
    </row>
    <row r="20" spans="1:16" x14ac:dyDescent="0.2">
      <c r="A20" s="62"/>
      <c r="B20" s="229" t="s">
        <v>47</v>
      </c>
      <c r="C20" s="225">
        <v>0.94499999999999995</v>
      </c>
      <c r="D20" s="68" t="s">
        <v>44</v>
      </c>
      <c r="E20" s="67">
        <f>E16/4</f>
        <v>1.5950762829403609</v>
      </c>
      <c r="F20" s="228">
        <f>F16/4</f>
        <v>19.140915395284331</v>
      </c>
      <c r="G20" s="72">
        <v>0.39</v>
      </c>
      <c r="H20" s="71">
        <f>0.39*H8</f>
        <v>2.6613037447988908</v>
      </c>
      <c r="I20" s="227">
        <f t="shared" si="1"/>
        <v>31.935644937586687</v>
      </c>
      <c r="J20" s="7" t="s">
        <v>163</v>
      </c>
      <c r="K20" s="90">
        <v>10</v>
      </c>
      <c r="L20" s="1" t="s">
        <v>162</v>
      </c>
      <c r="M20" s="219"/>
      <c r="N20" s="15"/>
      <c r="O20" s="209" t="s">
        <v>5</v>
      </c>
      <c r="P20" s="15"/>
    </row>
    <row r="21" spans="1:16" ht="13.5" thickBot="1" x14ac:dyDescent="0.25">
      <c r="A21" s="62"/>
      <c r="B21" s="226" t="s">
        <v>45</v>
      </c>
      <c r="C21" s="225">
        <v>0.95</v>
      </c>
      <c r="D21" s="224" t="s">
        <v>161</v>
      </c>
      <c r="E21" s="223">
        <f>(11808*B15/B8/2)*4%</f>
        <v>1.5509259361997227</v>
      </c>
      <c r="F21" s="222">
        <f>F19-E21</f>
        <v>36.730904854368937</v>
      </c>
      <c r="G21" s="221" t="s">
        <v>160</v>
      </c>
      <c r="H21" s="55">
        <f>0.6*H8</f>
        <v>4.0943134535367545</v>
      </c>
      <c r="I21" s="220">
        <f t="shared" si="1"/>
        <v>49.131761442441054</v>
      </c>
      <c r="J21" s="2"/>
      <c r="K21" s="206" t="s">
        <v>11</v>
      </c>
      <c r="L21" s="1" t="s">
        <v>11</v>
      </c>
      <c r="M21" s="196">
        <f>M24</f>
        <v>35.173415315100584</v>
      </c>
      <c r="N21" s="157" t="s">
        <v>159</v>
      </c>
      <c r="O21" s="103"/>
      <c r="P21" s="15"/>
    </row>
    <row r="22" spans="1:16" ht="13.5" thickTop="1" x14ac:dyDescent="0.2">
      <c r="A22" s="51" t="s">
        <v>158</v>
      </c>
      <c r="B22" s="50"/>
      <c r="C22" s="50"/>
      <c r="D22" s="49"/>
      <c r="E22" s="48" t="s">
        <v>41</v>
      </c>
      <c r="F22" s="47"/>
      <c r="G22" s="2"/>
      <c r="H22" s="2"/>
      <c r="I22" s="2"/>
      <c r="J22" s="2"/>
      <c r="L22" s="1" t="s">
        <v>11</v>
      </c>
      <c r="M22" s="219"/>
      <c r="N22" s="15"/>
      <c r="O22" s="201">
        <f>I14</f>
        <v>20.471567267683774</v>
      </c>
      <c r="P22" s="15"/>
    </row>
    <row r="23" spans="1:16" x14ac:dyDescent="0.2">
      <c r="B23" s="3" t="s">
        <v>157</v>
      </c>
      <c r="C23" s="3"/>
      <c r="F23" s="2"/>
      <c r="G23" s="2"/>
      <c r="H23" s="2"/>
      <c r="I23" s="2"/>
      <c r="J23" s="2"/>
      <c r="M23" s="219"/>
      <c r="N23" s="15"/>
      <c r="O23" s="209" t="s">
        <v>5</v>
      </c>
      <c r="P23" s="15"/>
    </row>
    <row r="24" spans="1:16" ht="13.5" thickBot="1" x14ac:dyDescent="0.25">
      <c r="B24" s="3"/>
      <c r="C24" s="3" t="s">
        <v>11</v>
      </c>
      <c r="F24" s="2"/>
      <c r="G24" s="2"/>
      <c r="H24" s="2"/>
      <c r="I24" s="2"/>
      <c r="J24" s="2"/>
      <c r="M24" s="196">
        <f>-0.018*J28+J28</f>
        <v>35.173415315100584</v>
      </c>
      <c r="N24" s="157" t="s">
        <v>156</v>
      </c>
      <c r="O24" s="103"/>
      <c r="P24" s="15"/>
    </row>
    <row r="25" spans="1:16" x14ac:dyDescent="0.2">
      <c r="B25" s="2"/>
      <c r="C25" s="2"/>
      <c r="D25" s="2"/>
      <c r="E25" s="2" t="s">
        <v>11</v>
      </c>
      <c r="F25" s="2"/>
      <c r="G25" s="2"/>
      <c r="H25" s="2"/>
      <c r="I25" s="2"/>
      <c r="J25" s="2" t="s">
        <v>11</v>
      </c>
      <c r="M25" s="206"/>
      <c r="N25" s="15"/>
      <c r="O25" s="201">
        <f>I14</f>
        <v>20.471567267683774</v>
      </c>
      <c r="P25" s="210">
        <f>SUM(O25:O28)</f>
        <v>40.943134535367548</v>
      </c>
    </row>
    <row r="26" spans="1:16" x14ac:dyDescent="0.2">
      <c r="B26" s="2"/>
      <c r="C26" s="2"/>
      <c r="D26" s="218" t="s">
        <v>36</v>
      </c>
      <c r="E26" s="217" t="s">
        <v>35</v>
      </c>
      <c r="F26" s="180"/>
      <c r="G26" s="180"/>
      <c r="H26" s="217">
        <f>B8</f>
        <v>144.19999999999999</v>
      </c>
      <c r="I26" s="217" t="s">
        <v>155</v>
      </c>
      <c r="J26" s="2"/>
      <c r="M26" s="206"/>
      <c r="N26" s="15"/>
      <c r="O26" s="209" t="s">
        <v>5</v>
      </c>
      <c r="P26" s="15"/>
    </row>
    <row r="27" spans="1:16" ht="13.5" thickBot="1" x14ac:dyDescent="0.25">
      <c r="B27" s="2"/>
      <c r="C27" s="2"/>
      <c r="D27" s="40"/>
      <c r="E27" s="17" t="s">
        <v>33</v>
      </c>
      <c r="F27" s="216">
        <f>H27/12</f>
        <v>4.4355062413314847</v>
      </c>
      <c r="G27" s="13" t="s">
        <v>32</v>
      </c>
      <c r="H27" s="40">
        <f>F30+G30+H30+I30</f>
        <v>53.226074895977817</v>
      </c>
      <c r="I27" s="197" t="s">
        <v>31</v>
      </c>
      <c r="J27" s="43"/>
      <c r="K27" s="33"/>
      <c r="L27" s="33"/>
      <c r="M27" s="196">
        <f>-0.016*J28+J28</f>
        <v>35.24505159883806</v>
      </c>
      <c r="N27" s="157" t="s">
        <v>154</v>
      </c>
      <c r="O27" s="103"/>
      <c r="P27" s="15"/>
    </row>
    <row r="28" spans="1:16" x14ac:dyDescent="0.2">
      <c r="B28" s="2"/>
      <c r="C28" s="2"/>
      <c r="D28" s="2"/>
      <c r="E28" s="167" t="s">
        <v>97</v>
      </c>
      <c r="F28" s="215">
        <f>0.05*F19+F19</f>
        <v>40.195922330097098</v>
      </c>
      <c r="G28" s="20">
        <f>F19</f>
        <v>38.281830790568662</v>
      </c>
      <c r="H28" s="196">
        <f>F21</f>
        <v>36.730904854368937</v>
      </c>
      <c r="I28" s="196">
        <f>-0.01*H28+H28</f>
        <v>36.363595805825248</v>
      </c>
      <c r="J28" s="196">
        <f>-0.015*I28+I28</f>
        <v>35.818141868737868</v>
      </c>
      <c r="K28" s="26"/>
      <c r="L28" s="214" t="s">
        <v>11</v>
      </c>
      <c r="M28" s="206"/>
      <c r="N28" s="15"/>
      <c r="O28" s="201">
        <f>I14</f>
        <v>20.471567267683774</v>
      </c>
      <c r="P28" s="195" t="s">
        <v>11</v>
      </c>
    </row>
    <row r="29" spans="1:16" ht="13.5" thickBot="1" x14ac:dyDescent="0.25">
      <c r="B29" s="2"/>
      <c r="C29" s="2"/>
      <c r="D29" s="2"/>
      <c r="E29" s="2"/>
      <c r="F29" s="30" t="s">
        <v>28</v>
      </c>
      <c r="G29" s="30" t="s">
        <v>27</v>
      </c>
      <c r="H29" s="29" t="s">
        <v>26</v>
      </c>
      <c r="I29" s="29" t="s">
        <v>25</v>
      </c>
      <c r="J29" s="121" t="s">
        <v>96</v>
      </c>
      <c r="K29" s="213" t="s">
        <v>11</v>
      </c>
      <c r="M29" s="206"/>
      <c r="N29" s="15"/>
      <c r="O29" s="209" t="s">
        <v>5</v>
      </c>
      <c r="P29" s="15"/>
    </row>
    <row r="30" spans="1:16" ht="14.25" thickTop="1" thickBot="1" x14ac:dyDescent="0.25">
      <c r="B30" s="2"/>
      <c r="C30" s="2"/>
      <c r="D30" s="2"/>
      <c r="E30" s="164" t="s">
        <v>24</v>
      </c>
      <c r="F30" s="212">
        <f>I17</f>
        <v>12.282940360610263</v>
      </c>
      <c r="G30" s="212">
        <f>I17</f>
        <v>12.282940360610263</v>
      </c>
      <c r="H30" s="212">
        <f>I17</f>
        <v>12.282940360610263</v>
      </c>
      <c r="I30" s="211">
        <f>I18</f>
        <v>16.377253814147021</v>
      </c>
      <c r="J30" s="40" t="s">
        <v>11</v>
      </c>
      <c r="M30" s="20">
        <f>J28</f>
        <v>35.818141868737868</v>
      </c>
      <c r="N30" s="157" t="s">
        <v>153</v>
      </c>
      <c r="O30" s="103"/>
      <c r="P30" s="15"/>
    </row>
    <row r="31" spans="1:16" x14ac:dyDescent="0.2">
      <c r="B31" s="102" t="s">
        <v>152</v>
      </c>
      <c r="C31" s="2"/>
      <c r="D31" s="2"/>
      <c r="E31" s="2"/>
      <c r="F31" s="48" t="s">
        <v>151</v>
      </c>
      <c r="G31" s="2"/>
      <c r="H31" s="2"/>
      <c r="I31" s="2"/>
      <c r="J31" s="2"/>
      <c r="L31" s="48" t="s">
        <v>150</v>
      </c>
      <c r="M31" s="206"/>
      <c r="N31" s="15"/>
      <c r="O31" s="201">
        <f>I18</f>
        <v>16.377253814147021</v>
      </c>
      <c r="P31" s="210">
        <f>SUM(O31:O37)</f>
        <v>40.943134535367548</v>
      </c>
    </row>
    <row r="32" spans="1:16" x14ac:dyDescent="0.2">
      <c r="B32" s="48" t="s">
        <v>149</v>
      </c>
      <c r="C32" s="3"/>
      <c r="N32" s="15"/>
      <c r="O32" s="209" t="s">
        <v>5</v>
      </c>
      <c r="P32" s="15"/>
    </row>
    <row r="33" spans="2:16" x14ac:dyDescent="0.2">
      <c r="B33" s="48" t="s">
        <v>148</v>
      </c>
      <c r="C33" s="3"/>
      <c r="M33" s="206"/>
      <c r="N33" s="15"/>
      <c r="O33" s="209"/>
      <c r="P33" s="15"/>
    </row>
    <row r="34" spans="2:16" ht="13.5" thickBot="1" x14ac:dyDescent="0.25">
      <c r="B34" s="48" t="s">
        <v>147</v>
      </c>
      <c r="C34" s="3"/>
      <c r="D34" s="19"/>
      <c r="E34" s="2"/>
      <c r="F34" s="2"/>
      <c r="G34" s="2"/>
      <c r="H34" s="2"/>
      <c r="I34" s="2"/>
      <c r="J34" s="2"/>
      <c r="M34" s="20">
        <f>I28</f>
        <v>36.363595805825248</v>
      </c>
      <c r="N34" s="157" t="s">
        <v>146</v>
      </c>
      <c r="O34" s="103"/>
      <c r="P34" s="15"/>
    </row>
    <row r="35" spans="2:16" x14ac:dyDescent="0.2">
      <c r="B35" s="208" t="s">
        <v>145</v>
      </c>
      <c r="C35" s="3"/>
      <c r="D35" s="19"/>
      <c r="E35" s="2"/>
      <c r="F35" s="2"/>
      <c r="G35" s="2"/>
      <c r="H35" s="2"/>
      <c r="I35" s="2"/>
      <c r="J35" s="2"/>
      <c r="K35" s="2"/>
      <c r="L35" s="2"/>
      <c r="N35" s="207"/>
      <c r="O35" s="201">
        <f>I17</f>
        <v>12.282940360610263</v>
      </c>
      <c r="P35" s="15"/>
    </row>
    <row r="36" spans="2:16" ht="13.5" thickBot="1" x14ac:dyDescent="0.25">
      <c r="B36" s="48" t="s">
        <v>144</v>
      </c>
      <c r="C36" s="2"/>
      <c r="D36" s="2"/>
      <c r="E36" s="2"/>
      <c r="F36" s="2"/>
      <c r="G36" s="2"/>
      <c r="H36" s="2"/>
      <c r="I36" s="2"/>
      <c r="J36" s="2"/>
      <c r="M36" s="20">
        <f>H28</f>
        <v>36.730904854368937</v>
      </c>
      <c r="N36" s="157" t="s">
        <v>143</v>
      </c>
      <c r="O36" s="103" t="s">
        <v>5</v>
      </c>
      <c r="P36" s="205" t="s">
        <v>142</v>
      </c>
    </row>
    <row r="37" spans="2:16" x14ac:dyDescent="0.2">
      <c r="B37" s="48"/>
      <c r="C37" s="2"/>
      <c r="D37" s="2"/>
      <c r="E37" s="2"/>
      <c r="F37" s="2"/>
      <c r="G37" s="2"/>
      <c r="H37" s="2"/>
      <c r="I37" s="2"/>
      <c r="J37" s="2"/>
      <c r="M37" s="206"/>
      <c r="N37" s="15"/>
      <c r="O37" s="201">
        <f>I17</f>
        <v>12.282940360610263</v>
      </c>
      <c r="P37" s="205"/>
    </row>
    <row r="38" spans="2:16" ht="13.5" thickBot="1" x14ac:dyDescent="0.25">
      <c r="B38" s="2"/>
      <c r="C38" s="2"/>
      <c r="D38" s="22" t="s">
        <v>141</v>
      </c>
      <c r="E38" s="2"/>
      <c r="F38" s="2"/>
      <c r="G38" s="2"/>
      <c r="H38" s="2"/>
      <c r="I38" s="2"/>
      <c r="J38" s="2"/>
      <c r="M38" s="20">
        <f>F19</f>
        <v>38.281830790568662</v>
      </c>
      <c r="N38" s="204" t="s">
        <v>140</v>
      </c>
      <c r="O38" s="203" t="s">
        <v>5</v>
      </c>
      <c r="P38" s="202" t="s">
        <v>139</v>
      </c>
    </row>
    <row r="39" spans="2:16" ht="14.25" thickTop="1" thickBot="1" x14ac:dyDescent="0.25">
      <c r="B39" s="2"/>
      <c r="C39" s="2"/>
      <c r="D39" s="2"/>
      <c r="E39" s="2"/>
      <c r="F39" s="2"/>
      <c r="G39" s="2"/>
      <c r="H39" s="20">
        <f>G28</f>
        <v>38.281830790568662</v>
      </c>
      <c r="I39" s="2" t="s">
        <v>138</v>
      </c>
      <c r="J39" s="2"/>
      <c r="M39" s="196"/>
      <c r="N39" s="15"/>
      <c r="O39" s="201">
        <f>I17</f>
        <v>12.282940360610263</v>
      </c>
      <c r="P39" s="200"/>
    </row>
    <row r="40" spans="2:16" ht="14.25" thickTop="1" thickBot="1" x14ac:dyDescent="0.25">
      <c r="B40" s="199"/>
      <c r="C40" s="198" t="s">
        <v>137</v>
      </c>
      <c r="D40" s="13" t="s">
        <v>13</v>
      </c>
      <c r="E40" s="18" t="s">
        <v>12</v>
      </c>
      <c r="F40" s="18"/>
      <c r="G40" s="18"/>
      <c r="H40" s="18" t="s">
        <v>11</v>
      </c>
      <c r="I40" s="18"/>
      <c r="J40" s="2"/>
      <c r="M40" s="196">
        <f>F28</f>
        <v>40.195922330097098</v>
      </c>
      <c r="N40" s="10" t="s">
        <v>6</v>
      </c>
      <c r="O40" s="103" t="s">
        <v>5</v>
      </c>
      <c r="P40" s="15"/>
    </row>
    <row r="41" spans="2:16" x14ac:dyDescent="0.2">
      <c r="B41" s="2"/>
      <c r="C41" s="2"/>
      <c r="D41" s="7"/>
      <c r="E41" s="7" t="s">
        <v>136</v>
      </c>
      <c r="F41" s="197">
        <f>0.011*F16</f>
        <v>0.84220027739251058</v>
      </c>
      <c r="G41" s="2"/>
      <c r="H41" s="7" t="s">
        <v>8</v>
      </c>
      <c r="I41" s="2" t="s">
        <v>135</v>
      </c>
      <c r="J41" s="2"/>
      <c r="M41" s="196"/>
      <c r="P41" s="15"/>
    </row>
    <row r="42" spans="2:16" x14ac:dyDescent="0.2">
      <c r="B42" s="2"/>
      <c r="E42" s="7" t="s">
        <v>134</v>
      </c>
      <c r="F42" s="197">
        <f>0.04*F16</f>
        <v>3.0625464632454928</v>
      </c>
      <c r="G42" s="2"/>
      <c r="H42" s="2" t="s">
        <v>133</v>
      </c>
      <c r="I42" s="2"/>
      <c r="J42" s="2"/>
      <c r="M42" s="196" t="s">
        <v>11</v>
      </c>
      <c r="P42" s="195"/>
    </row>
    <row r="43" spans="2:16" x14ac:dyDescent="0.2">
      <c r="B43" s="2"/>
      <c r="C43" s="7" t="s">
        <v>4</v>
      </c>
      <c r="D43" s="2" t="s">
        <v>132</v>
      </c>
      <c r="E43" s="2"/>
      <c r="F43" s="5" t="s">
        <v>131</v>
      </c>
    </row>
    <row r="44" spans="2:16" x14ac:dyDescent="0.2">
      <c r="B44" s="4" t="s">
        <v>11</v>
      </c>
      <c r="C44" s="3" t="s">
        <v>11</v>
      </c>
      <c r="D44" s="3"/>
      <c r="E44" s="7" t="s">
        <v>130</v>
      </c>
      <c r="F44" s="2" t="s">
        <v>129</v>
      </c>
      <c r="G44" s="2"/>
      <c r="H44" s="2"/>
      <c r="I44" s="2"/>
      <c r="J44" s="2"/>
    </row>
    <row r="45" spans="2:16" x14ac:dyDescent="0.2">
      <c r="B45" s="194" t="s">
        <v>128</v>
      </c>
      <c r="C45" s="3" t="s">
        <v>127</v>
      </c>
      <c r="D45" s="3"/>
      <c r="N45" s="1" t="s">
        <v>11</v>
      </c>
    </row>
  </sheetData>
  <pageMargins left="0.5" right="0.25" top="0.5" bottom="0.5" header="0.5" footer="0.5"/>
  <pageSetup scale="85" orientation="landscape" horizontalDpi="360" verticalDpi="360" r:id="rId1"/>
  <headerFooter alignWithMargins="0">
    <oddHeader>&amp;R&amp;D&amp;F</oddHeader>
  </headerFooter>
  <drawing r:id="rId2"/>
  <legacyDrawing r:id="rId3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P43"/>
  <sheetViews>
    <sheetView topLeftCell="A2" zoomScale="75" workbookViewId="0">
      <selection activeCell="L10" sqref="L10"/>
    </sheetView>
  </sheetViews>
  <sheetFormatPr defaultRowHeight="12.75" x14ac:dyDescent="0.2"/>
  <cols>
    <col min="1" max="1" width="2.7109375" style="1" customWidth="1"/>
    <col min="2" max="2" width="8.140625" style="1" customWidth="1"/>
    <col min="3" max="3" width="6" style="1" customWidth="1"/>
    <col min="4" max="4" width="10.140625" style="1" bestFit="1" customWidth="1"/>
    <col min="5" max="6" width="9.140625" style="1"/>
    <col min="7" max="7" width="10.140625" style="1" bestFit="1" customWidth="1"/>
    <col min="8" max="9" width="9.140625" style="1"/>
    <col min="10" max="10" width="12.28515625" style="1" bestFit="1" customWidth="1"/>
    <col min="11" max="11" width="7.28515625" style="1" customWidth="1"/>
    <col min="12" max="16384" width="9.140625" style="1"/>
  </cols>
  <sheetData>
    <row r="1" spans="1:16" x14ac:dyDescent="0.2">
      <c r="B1" s="2"/>
      <c r="C1" s="2"/>
      <c r="D1" s="2"/>
      <c r="E1" s="2"/>
      <c r="F1" s="2"/>
      <c r="G1" s="2"/>
      <c r="H1" s="2"/>
      <c r="I1" s="2"/>
      <c r="J1" s="2"/>
      <c r="M1" s="158"/>
    </row>
    <row r="2" spans="1:16" ht="30" x14ac:dyDescent="0.4">
      <c r="B2" s="2"/>
      <c r="C2" s="2"/>
      <c r="D2" s="2"/>
      <c r="E2" s="106" t="s">
        <v>196</v>
      </c>
      <c r="F2" s="2"/>
      <c r="G2" s="2"/>
      <c r="H2" s="2"/>
      <c r="I2" s="2"/>
      <c r="J2" s="2"/>
      <c r="K2" s="90" t="s">
        <v>11</v>
      </c>
      <c r="M2" s="105"/>
      <c r="N2" s="104"/>
    </row>
    <row r="3" spans="1:16" x14ac:dyDescent="0.2">
      <c r="B3" s="2"/>
      <c r="C3" s="2" t="s">
        <v>11</v>
      </c>
      <c r="D3" s="2"/>
      <c r="E3" s="26"/>
      <c r="F3" s="2"/>
      <c r="G3" s="2"/>
      <c r="H3" s="19" t="s">
        <v>11</v>
      </c>
      <c r="I3" s="2"/>
      <c r="J3" s="2"/>
      <c r="K3" s="90"/>
      <c r="M3" s="219"/>
      <c r="N3" s="207"/>
      <c r="O3" s="207"/>
      <c r="P3" s="15"/>
    </row>
    <row r="4" spans="1:16" ht="12.75" customHeight="1" x14ac:dyDescent="0.2">
      <c r="B4" s="2" t="s">
        <v>11</v>
      </c>
      <c r="C4" s="26" t="s">
        <v>195</v>
      </c>
      <c r="D4" s="2"/>
      <c r="E4" s="2"/>
      <c r="F4" s="2"/>
      <c r="G4" s="2"/>
      <c r="H4" s="2"/>
      <c r="I4" s="2"/>
      <c r="J4" s="2"/>
    </row>
    <row r="5" spans="1:16" ht="12.75" customHeight="1" x14ac:dyDescent="0.2">
      <c r="B5" s="100" t="s">
        <v>11</v>
      </c>
      <c r="C5" s="2"/>
      <c r="D5" s="2"/>
      <c r="E5" s="44" t="s">
        <v>11</v>
      </c>
      <c r="F5" s="43"/>
      <c r="G5" s="2"/>
      <c r="H5" s="191" t="s">
        <v>11</v>
      </c>
      <c r="I5" s="2"/>
      <c r="J5" s="2"/>
    </row>
    <row r="6" spans="1:16" ht="13.5" thickBot="1" x14ac:dyDescent="0.25">
      <c r="A6" s="62"/>
      <c r="B6" s="251" t="s">
        <v>78</v>
      </c>
      <c r="C6" s="199"/>
      <c r="D6" s="62"/>
      <c r="G6" s="43"/>
      <c r="H6" s="275" t="s">
        <v>194</v>
      </c>
      <c r="I6" s="2"/>
      <c r="J6" s="2"/>
    </row>
    <row r="7" spans="1:16" ht="14.25" thickTop="1" thickBot="1" x14ac:dyDescent="0.25">
      <c r="A7" s="62"/>
      <c r="B7" s="274" t="s">
        <v>74</v>
      </c>
      <c r="C7" s="199"/>
      <c r="D7" s="62"/>
      <c r="G7" s="98"/>
      <c r="H7" s="84" t="s">
        <v>61</v>
      </c>
      <c r="I7" s="97" t="s">
        <v>60</v>
      </c>
      <c r="J7" s="2"/>
    </row>
    <row r="8" spans="1:16" ht="13.5" thickBot="1" x14ac:dyDescent="0.25">
      <c r="A8" s="62"/>
      <c r="B8" s="267">
        <v>222.1</v>
      </c>
      <c r="C8" s="236" t="s">
        <v>73</v>
      </c>
      <c r="D8" s="62"/>
      <c r="G8" s="80" t="s">
        <v>57</v>
      </c>
      <c r="H8" s="262">
        <f>984/B8</f>
        <v>4.4304367402071136</v>
      </c>
      <c r="I8" s="261">
        <f t="shared" ref="I8:I13" si="0">12*H8</f>
        <v>53.165240882485364</v>
      </c>
      <c r="J8" s="213" t="s">
        <v>11</v>
      </c>
      <c r="K8" s="238" t="s">
        <v>11</v>
      </c>
      <c r="L8" s="1" t="s">
        <v>11</v>
      </c>
    </row>
    <row r="9" spans="1:16" x14ac:dyDescent="0.2">
      <c r="A9" s="62"/>
      <c r="B9" s="273" t="s">
        <v>11</v>
      </c>
      <c r="C9" s="199"/>
      <c r="D9" s="62"/>
      <c r="G9" s="75" t="s">
        <v>54</v>
      </c>
      <c r="H9" s="262">
        <f>3*H12</f>
        <v>3.3228275551553352</v>
      </c>
      <c r="I9" s="261">
        <f t="shared" si="0"/>
        <v>39.873930661864023</v>
      </c>
      <c r="J9" s="43"/>
      <c r="K9" s="159" t="s">
        <v>11</v>
      </c>
      <c r="M9" s="243" t="s">
        <v>193</v>
      </c>
    </row>
    <row r="10" spans="1:16" x14ac:dyDescent="0.2">
      <c r="A10" s="62"/>
      <c r="B10" s="248" t="s">
        <v>71</v>
      </c>
      <c r="C10" s="199"/>
      <c r="D10" s="62"/>
      <c r="G10" s="75" t="s">
        <v>52</v>
      </c>
      <c r="H10" s="262">
        <f>5*H13</f>
        <v>2.769022962629446</v>
      </c>
      <c r="I10" s="261">
        <f t="shared" si="0"/>
        <v>33.228275551553352</v>
      </c>
      <c r="J10" s="43"/>
    </row>
    <row r="11" spans="1:16" x14ac:dyDescent="0.2">
      <c r="A11" s="62"/>
      <c r="B11" s="272" t="s">
        <v>70</v>
      </c>
      <c r="C11" s="199"/>
      <c r="D11" s="62"/>
      <c r="G11" s="68" t="s">
        <v>69</v>
      </c>
      <c r="H11" s="148">
        <f>H8/2</f>
        <v>2.2152183701035568</v>
      </c>
      <c r="I11" s="249">
        <f t="shared" si="0"/>
        <v>26.582620441242682</v>
      </c>
      <c r="J11" s="43"/>
      <c r="K11" s="26" t="s">
        <v>11</v>
      </c>
    </row>
    <row r="12" spans="1:16" ht="13.5" thickBot="1" x14ac:dyDescent="0.25">
      <c r="A12" s="62"/>
      <c r="B12" s="271" t="s">
        <v>68</v>
      </c>
      <c r="C12" s="199"/>
      <c r="D12" s="62"/>
      <c r="G12" s="75" t="s">
        <v>44</v>
      </c>
      <c r="H12" s="262">
        <f>H11/2</f>
        <v>1.1076091850517784</v>
      </c>
      <c r="I12" s="234">
        <f t="shared" si="0"/>
        <v>13.291310220621341</v>
      </c>
      <c r="J12" s="43"/>
      <c r="K12" s="247" t="s">
        <v>185</v>
      </c>
      <c r="M12" s="196">
        <f>-0.01*M24+M24</f>
        <v>22.731203777471478</v>
      </c>
      <c r="N12" s="157" t="s">
        <v>184</v>
      </c>
      <c r="O12" s="157"/>
    </row>
    <row r="13" spans="1:16" ht="13.5" thickBot="1" x14ac:dyDescent="0.25">
      <c r="A13" s="62"/>
      <c r="B13" s="267">
        <v>0.94</v>
      </c>
      <c r="C13" s="87" t="s">
        <v>62</v>
      </c>
      <c r="D13" s="62"/>
      <c r="G13" s="68" t="s">
        <v>65</v>
      </c>
      <c r="H13" s="270">
        <f>H12/2</f>
        <v>0.55380459252588921</v>
      </c>
      <c r="I13" s="269">
        <f t="shared" si="0"/>
        <v>6.6456551103106705</v>
      </c>
      <c r="J13" s="213" t="s">
        <v>181</v>
      </c>
      <c r="K13" s="90" t="s">
        <v>183</v>
      </c>
      <c r="L13" s="1" t="s">
        <v>192</v>
      </c>
      <c r="M13" s="168"/>
      <c r="O13" s="246"/>
      <c r="P13" s="210">
        <f>O16</f>
        <v>26.582620441242682</v>
      </c>
    </row>
    <row r="14" spans="1:16" ht="13.5" thickBot="1" x14ac:dyDescent="0.25">
      <c r="A14" s="62"/>
      <c r="B14" s="87" t="s">
        <v>64</v>
      </c>
      <c r="C14" s="199"/>
      <c r="D14" s="268"/>
      <c r="E14" s="243" t="s">
        <v>63</v>
      </c>
      <c r="F14" s="159"/>
      <c r="G14" s="72">
        <v>0.25</v>
      </c>
      <c r="H14" s="265">
        <f>H12</f>
        <v>1.1076091850517784</v>
      </c>
      <c r="I14" s="234">
        <f>I12</f>
        <v>13.291310220621341</v>
      </c>
      <c r="J14" s="7" t="s">
        <v>181</v>
      </c>
      <c r="K14" s="90" t="s">
        <v>180</v>
      </c>
      <c r="L14" s="242" t="s">
        <v>191</v>
      </c>
      <c r="M14" s="196"/>
      <c r="O14" s="237"/>
    </row>
    <row r="15" spans="1:16" ht="14.25" thickTop="1" thickBot="1" x14ac:dyDescent="0.25">
      <c r="A15" s="62"/>
      <c r="B15" s="267">
        <v>0.95</v>
      </c>
      <c r="C15" s="87" t="s">
        <v>62</v>
      </c>
      <c r="D15" s="241" t="s">
        <v>11</v>
      </c>
      <c r="E15" s="240" t="s">
        <v>61</v>
      </c>
      <c r="F15" s="239" t="s">
        <v>60</v>
      </c>
      <c r="G15" s="72">
        <v>0.5</v>
      </c>
      <c r="H15" s="265">
        <f>H13</f>
        <v>0.55380459252588921</v>
      </c>
      <c r="I15" s="234">
        <f>I11</f>
        <v>26.582620441242682</v>
      </c>
      <c r="J15" s="213" t="s">
        <v>178</v>
      </c>
      <c r="K15" s="238">
        <f>SUM(O15:O41)/12</f>
        <v>9.5254389914452933</v>
      </c>
      <c r="L15" s="1" t="s">
        <v>177</v>
      </c>
      <c r="M15" s="196"/>
      <c r="O15" s="266"/>
      <c r="P15" s="15"/>
    </row>
    <row r="16" spans="1:16" x14ac:dyDescent="0.2">
      <c r="A16" s="62"/>
      <c r="B16" s="236" t="s">
        <v>58</v>
      </c>
      <c r="C16" s="199"/>
      <c r="D16" s="235" t="s">
        <v>57</v>
      </c>
      <c r="E16" s="67">
        <f>11808*B13/B8/12</f>
        <v>4.1646105357946865</v>
      </c>
      <c r="F16" s="228">
        <f>11808*B13/B8</f>
        <v>49.975326429536238</v>
      </c>
      <c r="G16" s="263" t="s">
        <v>176</v>
      </c>
      <c r="H16" s="262">
        <f>0.1*H8</f>
        <v>0.44304367402071138</v>
      </c>
      <c r="I16" s="261">
        <f t="shared" ref="I16:I21" si="1">12*H16</f>
        <v>5.3165240882485367</v>
      </c>
      <c r="J16" s="7" t="s">
        <v>175</v>
      </c>
      <c r="K16" s="90">
        <v>50</v>
      </c>
      <c r="L16" s="1" t="s">
        <v>174</v>
      </c>
      <c r="M16" s="196"/>
      <c r="N16" s="15"/>
      <c r="O16" s="201">
        <f>I15</f>
        <v>26.582620441242682</v>
      </c>
      <c r="P16" s="15"/>
    </row>
    <row r="17" spans="1:16" x14ac:dyDescent="0.2">
      <c r="A17" s="62"/>
      <c r="B17" s="226" t="s">
        <v>56</v>
      </c>
      <c r="C17" s="225" t="s">
        <v>55</v>
      </c>
      <c r="D17" s="68" t="s">
        <v>54</v>
      </c>
      <c r="E17" s="67">
        <f>E20+E19</f>
        <v>3.1234579018460149</v>
      </c>
      <c r="F17" s="228">
        <f>F20+F19</f>
        <v>37.481494822152179</v>
      </c>
      <c r="G17" s="230" t="s">
        <v>173</v>
      </c>
      <c r="H17" s="265">
        <f>0.15*H8</f>
        <v>0.66456551103106698</v>
      </c>
      <c r="I17" s="234">
        <f t="shared" si="1"/>
        <v>7.9747861323728042</v>
      </c>
      <c r="J17" s="7" t="s">
        <v>172</v>
      </c>
      <c r="K17" s="90">
        <f>K15*12/P13*3</f>
        <v>12.899999999999999</v>
      </c>
      <c r="L17" s="1" t="s">
        <v>171</v>
      </c>
      <c r="M17" s="196"/>
      <c r="N17" s="15"/>
      <c r="O17" s="209" t="s">
        <v>5</v>
      </c>
      <c r="P17" s="15"/>
    </row>
    <row r="18" spans="1:16" ht="13.5" thickBot="1" x14ac:dyDescent="0.25">
      <c r="A18" s="62"/>
      <c r="B18" s="229" t="s">
        <v>53</v>
      </c>
      <c r="C18" s="225">
        <v>0.92</v>
      </c>
      <c r="D18" s="68" t="s">
        <v>52</v>
      </c>
      <c r="E18" s="67">
        <f>E20/2*5</f>
        <v>2.6028815848716791</v>
      </c>
      <c r="F18" s="228">
        <f>F20/2*5</f>
        <v>31.234579018460149</v>
      </c>
      <c r="G18" s="230" t="s">
        <v>170</v>
      </c>
      <c r="H18" s="265">
        <f>0.2*H8</f>
        <v>0.88608734804142275</v>
      </c>
      <c r="I18" s="234">
        <f t="shared" si="1"/>
        <v>10.633048176497073</v>
      </c>
      <c r="J18" s="7" t="s">
        <v>169</v>
      </c>
      <c r="K18" s="1" t="s">
        <v>190</v>
      </c>
      <c r="M18" s="196">
        <f>-0.018*M24+M24</f>
        <v>22.547517282299989</v>
      </c>
      <c r="N18" s="157" t="s">
        <v>167</v>
      </c>
      <c r="O18" s="103"/>
      <c r="P18" s="15"/>
    </row>
    <row r="19" spans="1:16" x14ac:dyDescent="0.2">
      <c r="A19" s="62"/>
      <c r="B19" s="233" t="s">
        <v>49</v>
      </c>
      <c r="C19" s="225">
        <v>0.93500000000000005</v>
      </c>
      <c r="D19" s="232" t="s">
        <v>69</v>
      </c>
      <c r="E19" s="73">
        <f>E16/2</f>
        <v>2.0823052678973433</v>
      </c>
      <c r="F19" s="231">
        <f>E16*12/2</f>
        <v>24.987663214768119</v>
      </c>
      <c r="G19" s="230" t="s">
        <v>166</v>
      </c>
      <c r="H19" s="265">
        <f>0.3*H8</f>
        <v>1.329131022062134</v>
      </c>
      <c r="I19" s="264">
        <f t="shared" si="1"/>
        <v>15.949572264745608</v>
      </c>
      <c r="J19" s="7" t="s">
        <v>165</v>
      </c>
      <c r="K19" s="90">
        <v>25</v>
      </c>
      <c r="L19" s="1" t="s">
        <v>164</v>
      </c>
      <c r="M19" s="196"/>
      <c r="N19" s="15"/>
      <c r="O19" s="201">
        <f>I14</f>
        <v>13.291310220621341</v>
      </c>
      <c r="P19" s="210">
        <f>SUM(O19:O22)</f>
        <v>26.582620441242682</v>
      </c>
    </row>
    <row r="20" spans="1:16" x14ac:dyDescent="0.2">
      <c r="A20" s="62"/>
      <c r="B20" s="229" t="s">
        <v>47</v>
      </c>
      <c r="C20" s="225">
        <v>0.94499999999999995</v>
      </c>
      <c r="D20" s="68" t="s">
        <v>44</v>
      </c>
      <c r="E20" s="67">
        <f>E16/4</f>
        <v>1.0411526339486716</v>
      </c>
      <c r="F20" s="228">
        <f>F16/4</f>
        <v>12.49383160738406</v>
      </c>
      <c r="G20" s="263" t="s">
        <v>189</v>
      </c>
      <c r="H20" s="262">
        <f>0.4*H8</f>
        <v>1.7721746960828455</v>
      </c>
      <c r="I20" s="261">
        <f t="shared" si="1"/>
        <v>21.266096352994147</v>
      </c>
      <c r="J20" s="2"/>
      <c r="K20" s="26" t="s">
        <v>11</v>
      </c>
      <c r="M20" s="196"/>
      <c r="N20" s="15"/>
      <c r="O20" s="209" t="s">
        <v>5</v>
      </c>
      <c r="P20" s="15"/>
    </row>
    <row r="21" spans="1:16" ht="13.5" thickBot="1" x14ac:dyDescent="0.25">
      <c r="A21" s="62"/>
      <c r="B21" s="226" t="s">
        <v>45</v>
      </c>
      <c r="C21" s="225">
        <v>0.95</v>
      </c>
      <c r="D21" s="260" t="s">
        <v>161</v>
      </c>
      <c r="E21" s="223">
        <f>(11808*B15/B8/2)*4%</f>
        <v>1.0101395767672221</v>
      </c>
      <c r="F21" s="222">
        <f>F19-E21</f>
        <v>23.977523638000896</v>
      </c>
      <c r="G21" s="259" t="s">
        <v>160</v>
      </c>
      <c r="H21" s="258">
        <f>0.6*H8</f>
        <v>2.6582620441242679</v>
      </c>
      <c r="I21" s="257">
        <f t="shared" si="1"/>
        <v>31.899144529491217</v>
      </c>
      <c r="J21" s="2"/>
      <c r="K21" s="206" t="s">
        <v>11</v>
      </c>
      <c r="L21" s="1" t="s">
        <v>11</v>
      </c>
      <c r="M21" s="196">
        <f>M24</f>
        <v>22.960811896435835</v>
      </c>
      <c r="N21" s="157" t="s">
        <v>159</v>
      </c>
      <c r="O21" s="103"/>
      <c r="P21" s="15"/>
    </row>
    <row r="22" spans="1:16" ht="13.5" thickTop="1" x14ac:dyDescent="0.2">
      <c r="A22" s="51" t="s">
        <v>100</v>
      </c>
      <c r="B22" s="51"/>
      <c r="C22" s="51"/>
      <c r="D22" s="127"/>
      <c r="E22" s="48" t="s">
        <v>41</v>
      </c>
      <c r="F22" s="47"/>
      <c r="G22" s="2"/>
      <c r="H22" s="2"/>
      <c r="I22" s="2"/>
      <c r="J22" s="2"/>
      <c r="L22" s="1" t="s">
        <v>11</v>
      </c>
      <c r="M22" s="196"/>
      <c r="N22" s="15"/>
      <c r="O22" s="201">
        <f>I14</f>
        <v>13.291310220621341</v>
      </c>
      <c r="P22" s="15"/>
    </row>
    <row r="23" spans="1:16" x14ac:dyDescent="0.2">
      <c r="B23" s="3" t="s">
        <v>157</v>
      </c>
      <c r="C23" s="3"/>
      <c r="F23" s="2"/>
      <c r="G23" s="2"/>
      <c r="H23" s="2"/>
      <c r="I23" s="2"/>
      <c r="J23" s="2"/>
      <c r="M23" s="196"/>
      <c r="N23" s="15"/>
      <c r="O23" s="209" t="s">
        <v>5</v>
      </c>
      <c r="P23" s="15"/>
    </row>
    <row r="24" spans="1:16" ht="13.5" thickBot="1" x14ac:dyDescent="0.25">
      <c r="B24" s="3"/>
      <c r="C24" s="3" t="s">
        <v>11</v>
      </c>
      <c r="F24" s="2"/>
      <c r="G24" s="2"/>
      <c r="H24" s="2"/>
      <c r="I24" s="2"/>
      <c r="J24" s="2"/>
      <c r="M24" s="196">
        <f>-0.018*J28+J28</f>
        <v>22.960811896435835</v>
      </c>
      <c r="N24" s="157" t="s">
        <v>156</v>
      </c>
      <c r="O24" s="103"/>
      <c r="P24" s="15"/>
    </row>
    <row r="25" spans="1:16" x14ac:dyDescent="0.2">
      <c r="B25" s="2"/>
      <c r="C25" s="2"/>
      <c r="D25" s="2"/>
      <c r="E25" s="2" t="s">
        <v>11</v>
      </c>
      <c r="F25" s="2"/>
      <c r="G25" s="2"/>
      <c r="H25" s="2"/>
      <c r="I25" s="2"/>
      <c r="J25" s="2"/>
      <c r="M25" s="20"/>
      <c r="N25" s="15"/>
      <c r="O25" s="201">
        <f>I14</f>
        <v>13.291310220621341</v>
      </c>
      <c r="P25" s="210">
        <f>SUM(O25:O28)</f>
        <v>26.582620441242682</v>
      </c>
    </row>
    <row r="26" spans="1:16" x14ac:dyDescent="0.2">
      <c r="B26" s="2"/>
      <c r="C26" s="2"/>
      <c r="D26" s="217" t="s">
        <v>36</v>
      </c>
      <c r="E26" s="26" t="s">
        <v>35</v>
      </c>
      <c r="F26" s="2"/>
      <c r="G26" s="2"/>
      <c r="H26" s="217">
        <f>B8</f>
        <v>222.1</v>
      </c>
      <c r="I26" s="26" t="s">
        <v>155</v>
      </c>
      <c r="J26" s="2"/>
      <c r="M26" s="20"/>
      <c r="N26" s="15"/>
      <c r="O26" s="209" t="s">
        <v>5</v>
      </c>
      <c r="P26" s="15"/>
    </row>
    <row r="27" spans="1:16" ht="13.5" thickBot="1" x14ac:dyDescent="0.25">
      <c r="B27" s="2"/>
      <c r="C27" s="2"/>
      <c r="D27" s="40"/>
      <c r="E27" s="17" t="s">
        <v>33</v>
      </c>
      <c r="F27" s="216">
        <f>H27/12</f>
        <v>2.8797838811346232</v>
      </c>
      <c r="G27" s="13" t="s">
        <v>32</v>
      </c>
      <c r="H27" s="40">
        <f>F30+G30+H30+I30</f>
        <v>34.557406573615481</v>
      </c>
      <c r="I27" s="197" t="s">
        <v>31</v>
      </c>
      <c r="J27" s="43"/>
      <c r="K27" s="33"/>
      <c r="L27" s="33"/>
      <c r="M27" s="196">
        <f>-0.016*J28+J28</f>
        <v>23.007575260787029</v>
      </c>
      <c r="N27" s="157" t="s">
        <v>154</v>
      </c>
      <c r="O27" s="103"/>
      <c r="P27" s="15"/>
    </row>
    <row r="28" spans="1:16" x14ac:dyDescent="0.2">
      <c r="B28" s="2"/>
      <c r="C28" s="2"/>
      <c r="D28" s="244"/>
      <c r="E28" s="167" t="s">
        <v>29</v>
      </c>
      <c r="F28" s="215">
        <f>0.05*F19+F19</f>
        <v>26.237046375506527</v>
      </c>
      <c r="G28" s="20">
        <f>F19</f>
        <v>24.987663214768119</v>
      </c>
      <c r="H28" s="196">
        <f>F21</f>
        <v>23.977523638000896</v>
      </c>
      <c r="I28" s="196">
        <f>-0.01*H28+H28</f>
        <v>23.737748401620888</v>
      </c>
      <c r="J28" s="196">
        <f>-0.015*I28+I28</f>
        <v>23.381682175596573</v>
      </c>
      <c r="K28" s="26"/>
      <c r="L28" s="214" t="s">
        <v>11</v>
      </c>
      <c r="M28" s="20"/>
      <c r="N28" s="15"/>
      <c r="O28" s="201">
        <f>I14</f>
        <v>13.291310220621341</v>
      </c>
      <c r="P28" s="195" t="s">
        <v>11</v>
      </c>
    </row>
    <row r="29" spans="1:16" ht="13.5" thickBot="1" x14ac:dyDescent="0.25">
      <c r="B29" s="2"/>
      <c r="C29" s="2"/>
      <c r="D29" s="2"/>
      <c r="E29" s="2"/>
      <c r="F29" s="30" t="s">
        <v>28</v>
      </c>
      <c r="G29" s="30" t="s">
        <v>27</v>
      </c>
      <c r="H29" s="29" t="s">
        <v>26</v>
      </c>
      <c r="I29" s="29" t="s">
        <v>25</v>
      </c>
      <c r="J29" s="121" t="s">
        <v>96</v>
      </c>
      <c r="K29" s="213" t="s">
        <v>11</v>
      </c>
      <c r="M29" s="20"/>
      <c r="N29" s="15"/>
      <c r="O29" s="209" t="s">
        <v>5</v>
      </c>
      <c r="P29" s="15"/>
    </row>
    <row r="30" spans="1:16" ht="14.25" thickTop="1" thickBot="1" x14ac:dyDescent="0.25">
      <c r="B30" s="256"/>
      <c r="C30" s="256"/>
      <c r="D30" s="256"/>
      <c r="E30" s="255" t="s">
        <v>24</v>
      </c>
      <c r="F30" s="212">
        <f>I17</f>
        <v>7.9747861323728042</v>
      </c>
      <c r="G30" s="212">
        <f>I17</f>
        <v>7.9747861323728042</v>
      </c>
      <c r="H30" s="212">
        <f>I17</f>
        <v>7.9747861323728042</v>
      </c>
      <c r="I30" s="254">
        <f>I18</f>
        <v>10.633048176497073</v>
      </c>
      <c r="J30" s="40" t="s">
        <v>11</v>
      </c>
      <c r="M30" s="20">
        <f>J28</f>
        <v>23.381682175596573</v>
      </c>
      <c r="N30" s="157" t="s">
        <v>153</v>
      </c>
      <c r="O30" s="103"/>
      <c r="P30" s="15"/>
    </row>
    <row r="31" spans="1:16" x14ac:dyDescent="0.2">
      <c r="B31" s="26" t="s">
        <v>152</v>
      </c>
      <c r="C31" s="2"/>
      <c r="D31" s="2"/>
      <c r="E31" s="2"/>
      <c r="F31" s="2" t="s">
        <v>151</v>
      </c>
      <c r="G31" s="2"/>
      <c r="H31" s="2"/>
      <c r="I31" s="2"/>
      <c r="J31" s="2"/>
      <c r="L31" s="1" t="s">
        <v>150</v>
      </c>
      <c r="M31" s="20"/>
      <c r="N31" s="15"/>
      <c r="O31" s="201">
        <f>I18</f>
        <v>10.633048176497073</v>
      </c>
      <c r="P31" s="210">
        <f>SUM(O31:O37)</f>
        <v>26.582620441242682</v>
      </c>
    </row>
    <row r="32" spans="1:16" x14ac:dyDescent="0.2">
      <c r="B32" s="3" t="s">
        <v>149</v>
      </c>
      <c r="C32" s="3"/>
      <c r="E32" s="2"/>
      <c r="F32" s="2"/>
      <c r="G32" s="2"/>
      <c r="H32" s="120"/>
      <c r="I32" s="2"/>
      <c r="J32" s="2"/>
      <c r="M32" s="20"/>
      <c r="N32" s="15"/>
      <c r="O32" s="209" t="s">
        <v>5</v>
      </c>
      <c r="P32" s="15"/>
    </row>
    <row r="33" spans="2:16" ht="13.5" thickBot="1" x14ac:dyDescent="0.25">
      <c r="B33" s="3" t="s">
        <v>148</v>
      </c>
      <c r="C33" s="3"/>
      <c r="D33" s="19"/>
      <c r="E33" s="2"/>
      <c r="F33" s="2"/>
      <c r="G33" s="2"/>
      <c r="H33" s="2"/>
      <c r="I33" s="2"/>
      <c r="J33" s="2"/>
      <c r="M33" s="20">
        <f>I28</f>
        <v>23.737748401620888</v>
      </c>
      <c r="N33" s="157" t="s">
        <v>146</v>
      </c>
      <c r="O33" s="103"/>
      <c r="P33" s="15"/>
    </row>
    <row r="34" spans="2:16" x14ac:dyDescent="0.2">
      <c r="B34" s="120" t="s">
        <v>147</v>
      </c>
      <c r="C34" s="3"/>
      <c r="D34" s="19"/>
      <c r="E34" s="2"/>
      <c r="F34" s="2"/>
      <c r="G34" s="2"/>
      <c r="H34" s="2"/>
      <c r="I34" s="2"/>
      <c r="J34" s="2"/>
      <c r="M34" s="20"/>
      <c r="N34" s="207"/>
      <c r="O34" s="253"/>
      <c r="P34" s="15"/>
    </row>
    <row r="35" spans="2:16" x14ac:dyDescent="0.2">
      <c r="B35" s="3" t="s">
        <v>145</v>
      </c>
      <c r="C35" s="2"/>
      <c r="D35" s="2"/>
      <c r="E35" s="2"/>
      <c r="F35" s="2"/>
      <c r="G35" s="2"/>
      <c r="H35" s="2"/>
      <c r="I35" s="2"/>
      <c r="J35" s="2"/>
      <c r="M35" s="20"/>
      <c r="N35" s="15"/>
      <c r="O35" s="201">
        <f>I17</f>
        <v>7.9747861323728042</v>
      </c>
      <c r="P35" s="205" t="s">
        <v>142</v>
      </c>
    </row>
    <row r="36" spans="2:16" ht="13.5" thickBot="1" x14ac:dyDescent="0.25">
      <c r="B36" s="3" t="s">
        <v>144</v>
      </c>
      <c r="C36" s="2"/>
      <c r="D36" s="22"/>
      <c r="E36" s="2"/>
      <c r="F36" s="2"/>
      <c r="G36" s="2"/>
      <c r="H36" s="2"/>
      <c r="I36" s="2"/>
      <c r="J36" s="2"/>
      <c r="M36" s="20">
        <f>H28</f>
        <v>23.977523638000896</v>
      </c>
      <c r="N36" s="157" t="s">
        <v>143</v>
      </c>
      <c r="O36" s="103" t="s">
        <v>5</v>
      </c>
      <c r="P36" s="202" t="s">
        <v>139</v>
      </c>
    </row>
    <row r="37" spans="2:16" ht="13.5" thickBot="1" x14ac:dyDescent="0.25">
      <c r="B37" s="2"/>
      <c r="C37" s="2"/>
      <c r="D37" s="2"/>
      <c r="E37" s="2"/>
      <c r="F37" s="2"/>
      <c r="G37" s="2"/>
      <c r="H37" s="20">
        <f>G28</f>
        <v>24.987663214768119</v>
      </c>
      <c r="I37" s="2" t="s">
        <v>14</v>
      </c>
      <c r="J37" s="2"/>
      <c r="M37" s="196"/>
      <c r="N37" s="15"/>
      <c r="O37" s="201">
        <f>I17</f>
        <v>7.9747861323728042</v>
      </c>
      <c r="P37" s="200"/>
    </row>
    <row r="38" spans="2:16" ht="14.25" thickTop="1" thickBot="1" x14ac:dyDescent="0.25">
      <c r="B38" s="199"/>
      <c r="C38" s="252" t="s">
        <v>137</v>
      </c>
      <c r="D38" s="13" t="s">
        <v>13</v>
      </c>
      <c r="E38" s="18" t="s">
        <v>12</v>
      </c>
      <c r="F38" s="18"/>
      <c r="G38" s="18"/>
      <c r="H38" s="18" t="s">
        <v>11</v>
      </c>
      <c r="I38" s="18"/>
      <c r="J38" s="2"/>
      <c r="M38" s="196">
        <f>F19</f>
        <v>24.987663214768119</v>
      </c>
      <c r="N38" s="157" t="s">
        <v>140</v>
      </c>
      <c r="O38" s="103" t="s">
        <v>5</v>
      </c>
      <c r="P38" s="15"/>
    </row>
    <row r="39" spans="2:16" x14ac:dyDescent="0.2">
      <c r="B39" s="2"/>
      <c r="C39" s="2"/>
      <c r="D39" s="2" t="s">
        <v>9</v>
      </c>
      <c r="E39" s="7" t="s">
        <v>136</v>
      </c>
      <c r="F39" s="197">
        <f>0.015*F16</f>
        <v>0.74962989644304356</v>
      </c>
      <c r="G39" s="2"/>
      <c r="H39" s="7" t="s">
        <v>8</v>
      </c>
      <c r="I39" s="2"/>
      <c r="J39" s="2"/>
      <c r="M39" s="196"/>
      <c r="N39" s="15"/>
      <c r="O39" s="201">
        <f>I17</f>
        <v>7.9747861323728042</v>
      </c>
      <c r="P39" s="15"/>
    </row>
    <row r="40" spans="2:16" ht="13.5" thickBot="1" x14ac:dyDescent="0.25">
      <c r="B40" s="2"/>
      <c r="E40" s="7" t="s">
        <v>134</v>
      </c>
      <c r="F40" s="197">
        <f>0.04*F16</f>
        <v>1.9990130571814495</v>
      </c>
      <c r="G40" s="2"/>
      <c r="H40" s="2" t="s">
        <v>133</v>
      </c>
      <c r="I40" s="2"/>
      <c r="J40" s="2"/>
      <c r="M40" s="196">
        <f>F28</f>
        <v>26.237046375506527</v>
      </c>
      <c r="N40" s="10" t="s">
        <v>6</v>
      </c>
      <c r="O40" s="103" t="s">
        <v>5</v>
      </c>
      <c r="P40" s="195"/>
    </row>
    <row r="41" spans="2:16" x14ac:dyDescent="0.2">
      <c r="B41" s="2"/>
      <c r="C41" s="7" t="s">
        <v>4</v>
      </c>
      <c r="D41" s="2" t="s">
        <v>132</v>
      </c>
      <c r="E41" s="2"/>
      <c r="F41" s="5" t="s">
        <v>188</v>
      </c>
    </row>
    <row r="42" spans="2:16" x14ac:dyDescent="0.2">
      <c r="B42" s="4" t="s">
        <v>11</v>
      </c>
      <c r="C42" s="3" t="s">
        <v>11</v>
      </c>
      <c r="D42" s="3"/>
      <c r="E42" s="2"/>
      <c r="F42" s="2" t="s">
        <v>187</v>
      </c>
      <c r="G42" s="2"/>
      <c r="H42" s="2"/>
      <c r="I42" s="2"/>
      <c r="J42" s="2"/>
    </row>
    <row r="43" spans="2:16" x14ac:dyDescent="0.2">
      <c r="B43" s="4" t="s">
        <v>128</v>
      </c>
      <c r="C43" s="3" t="s">
        <v>127</v>
      </c>
      <c r="D43" s="3"/>
      <c r="N43" s="1" t="s">
        <v>11</v>
      </c>
    </row>
  </sheetData>
  <pageMargins left="0.5" right="0.25" top="0.25" bottom="0.5" header="0.5" footer="0.5"/>
  <pageSetup scale="90" orientation="landscape" horizontalDpi="360" verticalDpi="360" r:id="rId1"/>
  <headerFooter alignWithMargins="0">
    <oddHeader>&amp;R&amp;D&amp;F</oddHeader>
  </headerFooter>
  <drawing r:id="rId2"/>
  <legacyDrawing r:id="rId3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Q42"/>
  <sheetViews>
    <sheetView zoomScale="75" workbookViewId="0">
      <selection activeCell="F2" sqref="F2"/>
    </sheetView>
  </sheetViews>
  <sheetFormatPr defaultRowHeight="12.75" x14ac:dyDescent="0.2"/>
  <cols>
    <col min="1" max="1" width="2.7109375" style="1" customWidth="1"/>
    <col min="2" max="2" width="8.140625" style="1" customWidth="1"/>
    <col min="3" max="3" width="6" style="1" customWidth="1"/>
    <col min="4" max="4" width="1.7109375" style="1" customWidth="1"/>
    <col min="5" max="5" width="10.140625" style="1" bestFit="1" customWidth="1"/>
    <col min="6" max="7" width="9.140625" style="1"/>
    <col min="8" max="8" width="10.140625" style="1" bestFit="1" customWidth="1"/>
    <col min="9" max="16384" width="9.140625" style="1"/>
  </cols>
  <sheetData>
    <row r="1" spans="1:17" x14ac:dyDescent="0.2">
      <c r="B1" s="2"/>
      <c r="C1" s="2"/>
      <c r="D1" s="2"/>
      <c r="E1" s="2"/>
      <c r="F1" s="2"/>
      <c r="G1" s="2"/>
      <c r="H1" s="2"/>
      <c r="I1" s="2"/>
      <c r="J1" s="2"/>
      <c r="K1" s="2"/>
      <c r="N1" s="158"/>
    </row>
    <row r="2" spans="1:17" ht="30" x14ac:dyDescent="0.4">
      <c r="B2" s="2"/>
      <c r="C2" s="2"/>
      <c r="D2" s="2"/>
      <c r="E2" s="2"/>
      <c r="F2" s="106" t="s">
        <v>328</v>
      </c>
      <c r="G2" s="2"/>
      <c r="H2" s="2"/>
      <c r="I2" s="2"/>
      <c r="J2" s="2"/>
      <c r="K2" s="2"/>
      <c r="L2" s="90" t="s">
        <v>116</v>
      </c>
      <c r="N2" s="105"/>
      <c r="O2" s="104"/>
    </row>
    <row r="3" spans="1:17" ht="13.5" thickBot="1" x14ac:dyDescent="0.25">
      <c r="B3" s="2"/>
      <c r="C3" s="2" t="s">
        <v>11</v>
      </c>
      <c r="D3" s="2"/>
      <c r="E3" s="2"/>
      <c r="F3" s="26"/>
      <c r="G3" s="2"/>
      <c r="H3" s="2"/>
      <c r="I3" s="19" t="s">
        <v>11</v>
      </c>
      <c r="J3" s="2"/>
      <c r="K3" s="2"/>
      <c r="L3" s="90" t="s">
        <v>115</v>
      </c>
      <c r="N3" s="11">
        <f>N21</f>
        <v>11.93854017749346</v>
      </c>
      <c r="O3" s="16" t="s">
        <v>80</v>
      </c>
      <c r="P3" s="157"/>
      <c r="Q3" s="143">
        <f>SUM(P4:P7)</f>
        <v>13.663503818560518</v>
      </c>
    </row>
    <row r="4" spans="1:17" ht="12.75" customHeight="1" x14ac:dyDescent="0.2">
      <c r="B4" s="2" t="s">
        <v>11</v>
      </c>
      <c r="C4" s="2" t="s">
        <v>11</v>
      </c>
      <c r="D4" s="2"/>
      <c r="E4" s="102" t="s">
        <v>114</v>
      </c>
      <c r="F4" s="26"/>
      <c r="G4" s="26"/>
      <c r="H4" s="2"/>
      <c r="I4" s="2"/>
      <c r="J4" s="2"/>
      <c r="K4" s="2"/>
      <c r="L4" s="24">
        <f>SUM(P4:P39)/12</f>
        <v>6.0347141865308949</v>
      </c>
      <c r="M4" s="23" t="s">
        <v>101</v>
      </c>
      <c r="N4" s="11"/>
      <c r="O4" s="15"/>
      <c r="P4" s="101">
        <f>J16</f>
        <v>6.8317519092802588</v>
      </c>
      <c r="Q4" s="8"/>
    </row>
    <row r="5" spans="1:17" ht="12.75" customHeight="1" x14ac:dyDescent="0.2">
      <c r="B5" s="100" t="s">
        <v>11</v>
      </c>
      <c r="C5" s="2"/>
      <c r="D5" s="2"/>
      <c r="E5" s="2"/>
      <c r="F5" s="44" t="s">
        <v>11</v>
      </c>
      <c r="G5" s="43"/>
      <c r="H5" s="2"/>
      <c r="I5" s="100" t="s">
        <v>11</v>
      </c>
      <c r="J5" s="2"/>
      <c r="K5" s="2"/>
      <c r="N5" s="11"/>
      <c r="O5" s="15"/>
      <c r="P5" s="14" t="s">
        <v>5</v>
      </c>
      <c r="Q5" s="8"/>
    </row>
    <row r="6" spans="1:17" ht="13.5" thickBot="1" x14ac:dyDescent="0.25">
      <c r="A6" s="156"/>
      <c r="B6" s="280" t="s">
        <v>113</v>
      </c>
      <c r="C6" s="154"/>
      <c r="D6" s="81"/>
      <c r="H6" s="43"/>
      <c r="I6" s="90" t="s">
        <v>77</v>
      </c>
      <c r="J6" s="2"/>
      <c r="K6" s="2"/>
      <c r="L6" s="1" t="s">
        <v>11</v>
      </c>
      <c r="N6" s="11">
        <f>N21</f>
        <v>11.93854017749346</v>
      </c>
      <c r="O6" s="16" t="s">
        <v>75</v>
      </c>
      <c r="P6" s="9"/>
      <c r="Q6" s="8"/>
    </row>
    <row r="7" spans="1:17" ht="14.25" thickTop="1" thickBot="1" x14ac:dyDescent="0.25">
      <c r="A7" s="137"/>
      <c r="B7" s="153" t="s">
        <v>112</v>
      </c>
      <c r="C7" s="141"/>
      <c r="D7" s="81"/>
      <c r="H7" s="98"/>
      <c r="I7" s="84" t="s">
        <v>61</v>
      </c>
      <c r="J7" s="97" t="s">
        <v>60</v>
      </c>
      <c r="K7" s="2"/>
      <c r="N7" s="11"/>
      <c r="O7" s="15"/>
      <c r="P7" s="14">
        <f>J16</f>
        <v>6.8317519092802588</v>
      </c>
      <c r="Q7" s="8"/>
    </row>
    <row r="8" spans="1:17" ht="13.5" thickBot="1" x14ac:dyDescent="0.25">
      <c r="A8" s="137"/>
      <c r="B8" s="145">
        <v>432.1</v>
      </c>
      <c r="C8" s="144" t="s">
        <v>73</v>
      </c>
      <c r="D8" s="41"/>
      <c r="H8" s="80" t="s">
        <v>57</v>
      </c>
      <c r="I8" s="71">
        <f>984/B8</f>
        <v>2.2772506364267531</v>
      </c>
      <c r="J8" s="152">
        <f t="shared" ref="J8:J20" si="0">12*I8</f>
        <v>27.327007637121035</v>
      </c>
      <c r="K8" s="43"/>
      <c r="N8" s="11" t="s">
        <v>11</v>
      </c>
      <c r="O8" s="15"/>
      <c r="P8" s="14" t="s">
        <v>5</v>
      </c>
      <c r="Q8" s="8"/>
    </row>
    <row r="9" spans="1:17" ht="13.5" thickBot="1" x14ac:dyDescent="0.25">
      <c r="A9" s="137"/>
      <c r="B9" s="151" t="s">
        <v>11</v>
      </c>
      <c r="C9" s="141"/>
      <c r="D9" s="81"/>
      <c r="H9" s="75" t="s">
        <v>54</v>
      </c>
      <c r="I9" s="71">
        <f>3*I12</f>
        <v>1.7079379773200647</v>
      </c>
      <c r="J9" s="70">
        <f t="shared" si="0"/>
        <v>20.495255727840778</v>
      </c>
      <c r="K9" s="43"/>
      <c r="L9" s="26" t="s">
        <v>111</v>
      </c>
      <c r="N9" s="11">
        <f>N21</f>
        <v>11.93854017749346</v>
      </c>
      <c r="O9" s="16" t="s">
        <v>72</v>
      </c>
      <c r="P9" s="9"/>
      <c r="Q9" s="143">
        <f>SUM(P10:P13)</f>
        <v>13.663503818560518</v>
      </c>
    </row>
    <row r="10" spans="1:17" x14ac:dyDescent="0.2">
      <c r="A10" s="137"/>
      <c r="B10" s="150" t="s">
        <v>11</v>
      </c>
      <c r="C10" s="141"/>
      <c r="D10" s="81"/>
      <c r="H10" s="75" t="s">
        <v>52</v>
      </c>
      <c r="I10" s="71">
        <f>5*I13</f>
        <v>1.4232816477667207</v>
      </c>
      <c r="J10" s="70">
        <f t="shared" si="0"/>
        <v>17.07937977320065</v>
      </c>
      <c r="K10" s="43"/>
      <c r="L10" s="24">
        <f>SUM(P10:P39)/12</f>
        <v>4.896088868317519</v>
      </c>
      <c r="M10" s="23" t="s">
        <v>101</v>
      </c>
      <c r="N10" s="11"/>
      <c r="O10" s="15"/>
      <c r="P10" s="14">
        <f>J16</f>
        <v>6.8317519092802588</v>
      </c>
      <c r="Q10" s="8"/>
    </row>
    <row r="11" spans="1:17" x14ac:dyDescent="0.2">
      <c r="A11" s="137"/>
      <c r="B11" s="146" t="s">
        <v>110</v>
      </c>
      <c r="C11" s="141"/>
      <c r="D11" s="81"/>
      <c r="H11" s="149" t="s">
        <v>69</v>
      </c>
      <c r="I11" s="148">
        <f>I8/2</f>
        <v>1.1386253182133765</v>
      </c>
      <c r="J11" s="147">
        <f t="shared" si="0"/>
        <v>13.663503818560518</v>
      </c>
      <c r="K11" s="43" t="s">
        <v>11</v>
      </c>
      <c r="N11" s="11"/>
      <c r="O11" s="15"/>
      <c r="P11" s="14" t="s">
        <v>5</v>
      </c>
      <c r="Q11" s="8"/>
    </row>
    <row r="12" spans="1:17" ht="13.5" thickBot="1" x14ac:dyDescent="0.25">
      <c r="A12" s="137"/>
      <c r="B12" s="82" t="s">
        <v>109</v>
      </c>
      <c r="C12" s="141"/>
      <c r="D12" s="81"/>
      <c r="H12" s="75" t="s">
        <v>44</v>
      </c>
      <c r="I12" s="71">
        <f>I11/2</f>
        <v>0.56931265910668827</v>
      </c>
      <c r="J12" s="70">
        <f t="shared" si="0"/>
        <v>6.8317519092802588</v>
      </c>
      <c r="K12" s="43" t="s">
        <v>11</v>
      </c>
      <c r="N12" s="11">
        <f>N21</f>
        <v>11.93854017749346</v>
      </c>
      <c r="O12" s="16" t="s">
        <v>66</v>
      </c>
      <c r="P12" s="9"/>
      <c r="Q12" s="8"/>
    </row>
    <row r="13" spans="1:17" x14ac:dyDescent="0.2">
      <c r="A13" s="137"/>
      <c r="B13" s="82" t="s">
        <v>108</v>
      </c>
      <c r="C13" s="141"/>
      <c r="D13" s="81"/>
      <c r="H13" s="68" t="s">
        <v>65</v>
      </c>
      <c r="I13" s="67">
        <f>I12/2</f>
        <v>0.28465632955334413</v>
      </c>
      <c r="J13" s="76">
        <f t="shared" si="0"/>
        <v>3.4158759546401294</v>
      </c>
      <c r="K13" s="43"/>
      <c r="N13" s="11"/>
      <c r="O13" s="15"/>
      <c r="P13" s="14">
        <f>J16</f>
        <v>6.8317519092802588</v>
      </c>
      <c r="Q13" s="8"/>
    </row>
    <row r="14" spans="1:17" ht="13.5" thickBot="1" x14ac:dyDescent="0.25">
      <c r="A14" s="137"/>
      <c r="B14" s="82" t="s">
        <v>107</v>
      </c>
      <c r="C14" s="141"/>
      <c r="D14" s="81"/>
      <c r="E14" s="26"/>
      <c r="F14" s="90" t="s">
        <v>63</v>
      </c>
      <c r="G14" s="89"/>
      <c r="H14" s="72">
        <v>0.5</v>
      </c>
      <c r="I14" s="71">
        <f>I8/2</f>
        <v>1.1386253182133765</v>
      </c>
      <c r="J14" s="70">
        <f t="shared" si="0"/>
        <v>13.663503818560518</v>
      </c>
      <c r="K14" s="2"/>
      <c r="N14" s="11"/>
      <c r="O14" s="15"/>
      <c r="P14" s="14" t="s">
        <v>5</v>
      </c>
      <c r="Q14" s="8"/>
    </row>
    <row r="15" spans="1:17" ht="14.25" thickTop="1" thickBot="1" x14ac:dyDescent="0.25">
      <c r="A15" s="137"/>
      <c r="B15" s="145">
        <v>0.95699999999999996</v>
      </c>
      <c r="C15" s="144" t="s">
        <v>106</v>
      </c>
      <c r="D15" s="86"/>
      <c r="E15" s="85" t="s">
        <v>11</v>
      </c>
      <c r="F15" s="84" t="s">
        <v>61</v>
      </c>
      <c r="G15" s="83" t="s">
        <v>60</v>
      </c>
      <c r="H15" s="72">
        <v>0.3</v>
      </c>
      <c r="I15" s="71">
        <f>0.3*I8</f>
        <v>0.68317519092802592</v>
      </c>
      <c r="J15" s="70">
        <f t="shared" si="0"/>
        <v>8.1981022911363119</v>
      </c>
      <c r="K15" s="2"/>
      <c r="L15" s="26" t="s">
        <v>105</v>
      </c>
      <c r="N15" s="11">
        <f>N21</f>
        <v>11.93854017749346</v>
      </c>
      <c r="O15" s="16" t="s">
        <v>59</v>
      </c>
      <c r="P15" s="9"/>
      <c r="Q15" s="143">
        <f>SUM(P16:P19)</f>
        <v>13.663503818560518</v>
      </c>
    </row>
    <row r="16" spans="1:17" x14ac:dyDescent="0.2">
      <c r="A16" s="137"/>
      <c r="B16" s="142" t="s">
        <v>11</v>
      </c>
      <c r="C16" s="141"/>
      <c r="D16" s="81"/>
      <c r="E16" s="80" t="s">
        <v>57</v>
      </c>
      <c r="F16" s="71">
        <f>11810*B15/B8/12</f>
        <v>2.1796979865771813</v>
      </c>
      <c r="G16" s="70">
        <f>11810*B15/B8</f>
        <v>26.156375838926174</v>
      </c>
      <c r="H16" s="72">
        <v>0.25</v>
      </c>
      <c r="I16" s="71">
        <f>0.25*I8</f>
        <v>0.56931265910668827</v>
      </c>
      <c r="J16" s="70">
        <f t="shared" si="0"/>
        <v>6.8317519092802588</v>
      </c>
      <c r="K16" s="2"/>
      <c r="L16" s="24">
        <f>SUM(P16:P39)/12</f>
        <v>3.7574635501041418</v>
      </c>
      <c r="M16" s="23" t="s">
        <v>101</v>
      </c>
      <c r="N16" s="11"/>
      <c r="O16" s="15"/>
      <c r="P16" s="14">
        <f>J16</f>
        <v>6.8317519092802588</v>
      </c>
      <c r="Q16" s="8"/>
    </row>
    <row r="17" spans="1:17" x14ac:dyDescent="0.2">
      <c r="A17" s="137"/>
      <c r="B17" s="140" t="s">
        <v>104</v>
      </c>
      <c r="C17" s="139" t="s">
        <v>55</v>
      </c>
      <c r="D17" s="78"/>
      <c r="E17" s="75" t="s">
        <v>54</v>
      </c>
      <c r="F17" s="71">
        <f>F20+F19</f>
        <v>1.6347734899328858</v>
      </c>
      <c r="G17" s="70">
        <f>G20+G19</f>
        <v>19.430358542740993</v>
      </c>
      <c r="H17" s="77">
        <v>0.2</v>
      </c>
      <c r="I17" s="67">
        <f>0.2*I8</f>
        <v>0.45545012728535061</v>
      </c>
      <c r="J17" s="76">
        <f t="shared" si="0"/>
        <v>5.4654015274242074</v>
      </c>
      <c r="K17" s="2"/>
      <c r="N17" s="11"/>
      <c r="O17" s="15"/>
      <c r="P17" s="14" t="s">
        <v>5</v>
      </c>
      <c r="Q17" s="8"/>
    </row>
    <row r="18" spans="1:17" ht="13.5" thickBot="1" x14ac:dyDescent="0.25">
      <c r="A18" s="137"/>
      <c r="B18" s="136" t="s">
        <v>53</v>
      </c>
      <c r="C18" s="135">
        <v>0.94199999999999995</v>
      </c>
      <c r="D18" s="59"/>
      <c r="E18" s="75" t="s">
        <v>52</v>
      </c>
      <c r="F18" s="71">
        <f>F20/2*5</f>
        <v>1.3623112416107384</v>
      </c>
      <c r="G18" s="70">
        <f>G20/2*5</f>
        <v>16.347734899328859</v>
      </c>
      <c r="H18" s="72">
        <v>0.15</v>
      </c>
      <c r="I18" s="71">
        <f>0.15*I8</f>
        <v>0.34158759546401296</v>
      </c>
      <c r="J18" s="70">
        <f t="shared" si="0"/>
        <v>4.099051145568156</v>
      </c>
      <c r="K18" s="2" t="s">
        <v>11</v>
      </c>
      <c r="M18" s="1" t="s">
        <v>11</v>
      </c>
      <c r="N18" s="11">
        <f>N21</f>
        <v>11.93854017749346</v>
      </c>
      <c r="O18" s="16" t="s">
        <v>50</v>
      </c>
      <c r="P18" s="9"/>
      <c r="Q18" s="8"/>
    </row>
    <row r="19" spans="1:17" x14ac:dyDescent="0.2">
      <c r="A19" s="137"/>
      <c r="B19" s="138" t="s">
        <v>49</v>
      </c>
      <c r="C19" s="135">
        <v>0.95</v>
      </c>
      <c r="D19" s="59"/>
      <c r="E19" s="68" t="s">
        <v>46</v>
      </c>
      <c r="F19" s="73">
        <f>F16/2</f>
        <v>1.0898489932885906</v>
      </c>
      <c r="G19" s="66">
        <f>G16/2.029</f>
        <v>12.89126458300945</v>
      </c>
      <c r="H19" s="72">
        <v>0.09</v>
      </c>
      <c r="I19" s="71">
        <f>0.09*I8</f>
        <v>0.20495255727840778</v>
      </c>
      <c r="J19" s="70">
        <f t="shared" si="0"/>
        <v>2.4594306873408933</v>
      </c>
      <c r="K19" s="2"/>
      <c r="N19" s="11"/>
      <c r="O19" s="15"/>
      <c r="P19" s="14">
        <f>J16</f>
        <v>6.8317519092802588</v>
      </c>
      <c r="Q19" s="8"/>
    </row>
    <row r="20" spans="1:17" ht="13.5" thickBot="1" x14ac:dyDescent="0.25">
      <c r="A20" s="137"/>
      <c r="B20" s="136" t="s">
        <v>47</v>
      </c>
      <c r="C20" s="135">
        <v>0.95699999999999996</v>
      </c>
      <c r="D20" s="59"/>
      <c r="E20" s="58" t="s">
        <v>44</v>
      </c>
      <c r="F20" s="56">
        <f>F16/4</f>
        <v>0.54492449664429532</v>
      </c>
      <c r="G20" s="134">
        <f>G16/4</f>
        <v>6.5390939597315434</v>
      </c>
      <c r="H20" s="57">
        <v>7.0000000000000007E-2</v>
      </c>
      <c r="I20" s="56">
        <f>0.07*I8</f>
        <v>0.15940754454987274</v>
      </c>
      <c r="J20" s="133">
        <f t="shared" si="0"/>
        <v>1.912890534598473</v>
      </c>
      <c r="K20" s="2"/>
      <c r="L20" s="26" t="s">
        <v>103</v>
      </c>
      <c r="N20" s="11"/>
      <c r="O20" s="15"/>
      <c r="P20" s="14" t="s">
        <v>5</v>
      </c>
      <c r="Q20" s="8"/>
    </row>
    <row r="21" spans="1:17" ht="14.25" thickTop="1" thickBot="1" x14ac:dyDescent="0.25">
      <c r="A21" s="132"/>
      <c r="B21" s="111" t="s">
        <v>45</v>
      </c>
      <c r="C21" s="131">
        <v>0.96199999999999997</v>
      </c>
      <c r="D21" s="59"/>
      <c r="E21" s="130" t="s">
        <v>11</v>
      </c>
      <c r="F21" s="128" t="s">
        <v>11</v>
      </c>
      <c r="G21" s="128" t="s">
        <v>11</v>
      </c>
      <c r="H21" s="129" t="s">
        <v>102</v>
      </c>
      <c r="I21" s="128" t="s">
        <v>11</v>
      </c>
      <c r="J21" s="128" t="s">
        <v>11</v>
      </c>
      <c r="K21" s="2"/>
      <c r="L21" s="24">
        <f>SUM(P22:P38)/12</f>
        <v>2.6188382318907664</v>
      </c>
      <c r="M21" s="23" t="s">
        <v>101</v>
      </c>
      <c r="N21" s="11">
        <f>N24</f>
        <v>11.93854017749346</v>
      </c>
      <c r="O21" s="16" t="s">
        <v>43</v>
      </c>
      <c r="P21" s="9"/>
      <c r="Q21" s="122">
        <f>SUM(P22:P25)</f>
        <v>13.663503818560519</v>
      </c>
    </row>
    <row r="22" spans="1:17" x14ac:dyDescent="0.2">
      <c r="A22" s="279"/>
      <c r="B22" s="278" t="s">
        <v>197</v>
      </c>
      <c r="C22" s="277"/>
      <c r="D22" s="277"/>
      <c r="E22" s="276"/>
      <c r="F22" s="48" t="s">
        <v>41</v>
      </c>
      <c r="G22" s="2"/>
      <c r="H22" s="2"/>
      <c r="I22" s="2"/>
      <c r="J22" s="2"/>
      <c r="K22" s="2"/>
      <c r="N22" s="11"/>
      <c r="O22" s="15"/>
      <c r="P22" s="14">
        <f>J15</f>
        <v>8.1981022911363119</v>
      </c>
      <c r="Q22" s="8"/>
    </row>
    <row r="23" spans="1:17" x14ac:dyDescent="0.2">
      <c r="B23" s="3" t="s">
        <v>99</v>
      </c>
      <c r="C23" s="3"/>
      <c r="D23" s="3"/>
      <c r="G23" s="2"/>
      <c r="H23" s="2"/>
      <c r="I23" s="2"/>
      <c r="J23" s="2"/>
      <c r="K23" s="2"/>
      <c r="N23" s="11"/>
      <c r="O23" s="15"/>
      <c r="P23" s="14" t="s">
        <v>5</v>
      </c>
      <c r="Q23" s="8"/>
    </row>
    <row r="24" spans="1:17" ht="13.5" thickBot="1" x14ac:dyDescent="0.25">
      <c r="B24" s="3"/>
      <c r="C24" s="3" t="s">
        <v>11</v>
      </c>
      <c r="D24" s="3"/>
      <c r="G24" s="2"/>
      <c r="H24" s="2"/>
      <c r="I24" s="2"/>
      <c r="J24" s="2"/>
      <c r="K24" s="5" t="s">
        <v>11</v>
      </c>
      <c r="N24" s="11">
        <f>M28-0.6</f>
        <v>11.93854017749346</v>
      </c>
      <c r="O24" s="16" t="s">
        <v>37</v>
      </c>
      <c r="P24" s="9"/>
      <c r="Q24" s="8" t="s">
        <v>11</v>
      </c>
    </row>
    <row r="25" spans="1:17" x14ac:dyDescent="0.2">
      <c r="B25" s="2"/>
      <c r="C25" s="2"/>
      <c r="D25" s="2"/>
      <c r="E25" s="2"/>
      <c r="F25" s="2" t="s">
        <v>11</v>
      </c>
      <c r="G25" s="2"/>
      <c r="H25" s="2"/>
      <c r="I25" s="2"/>
      <c r="J25" s="2"/>
      <c r="K25" s="2"/>
      <c r="L25" s="1" t="s">
        <v>11</v>
      </c>
      <c r="N25" s="21"/>
      <c r="O25" s="15"/>
      <c r="P25" s="14">
        <f>J17</f>
        <v>5.4654015274242074</v>
      </c>
      <c r="Q25" s="8"/>
    </row>
    <row r="26" spans="1:17" x14ac:dyDescent="0.2">
      <c r="B26" s="2" t="s">
        <v>11</v>
      </c>
      <c r="C26" s="2"/>
      <c r="D26" s="2"/>
      <c r="E26" s="126" t="s">
        <v>36</v>
      </c>
      <c r="F26" s="44" t="s">
        <v>98</v>
      </c>
      <c r="G26" s="43"/>
      <c r="H26" s="43"/>
      <c r="I26" s="42">
        <f>B8</f>
        <v>432.1</v>
      </c>
      <c r="J26" s="41" t="s">
        <v>34</v>
      </c>
      <c r="K26" s="2"/>
      <c r="N26" s="21"/>
      <c r="O26" s="15"/>
      <c r="P26" s="14" t="s">
        <v>5</v>
      </c>
      <c r="Q26" s="8"/>
    </row>
    <row r="27" spans="1:17" ht="13.5" thickBot="1" x14ac:dyDescent="0.25">
      <c r="B27" s="2"/>
      <c r="C27" s="2"/>
      <c r="D27" s="2"/>
      <c r="E27" s="40"/>
      <c r="F27" s="17" t="s">
        <v>33</v>
      </c>
      <c r="G27" s="39">
        <f>SUM(G30:K30)/12</f>
        <v>1.4802129136773896</v>
      </c>
      <c r="H27" s="38" t="s">
        <v>32</v>
      </c>
      <c r="I27" s="37">
        <f>SUM(G30:K30)</f>
        <v>17.762554964128675</v>
      </c>
      <c r="J27" s="36" t="s">
        <v>31</v>
      </c>
      <c r="K27" s="125"/>
      <c r="L27" s="124"/>
      <c r="M27" s="123"/>
      <c r="N27" s="21">
        <f>M28</f>
        <v>12.538540177493459</v>
      </c>
      <c r="O27" s="16" t="s">
        <v>30</v>
      </c>
      <c r="P27" s="9"/>
      <c r="Q27" s="122">
        <f>SUM(P28:P36)</f>
        <v>13.663503818560518</v>
      </c>
    </row>
    <row r="28" spans="1:17" x14ac:dyDescent="0.2">
      <c r="B28" s="2" t="s">
        <v>11</v>
      </c>
      <c r="C28" s="2"/>
      <c r="D28" s="2"/>
      <c r="E28" s="2"/>
      <c r="F28" s="17" t="s">
        <v>97</v>
      </c>
      <c r="G28" s="27">
        <f>0.065*G19+G19</f>
        <v>13.729196780905065</v>
      </c>
      <c r="H28" s="21">
        <f>G19</f>
        <v>12.89126458300945</v>
      </c>
      <c r="I28" s="11">
        <f>-0.046*G11+H28</f>
        <v>12.89126458300945</v>
      </c>
      <c r="J28" s="11">
        <f>-0.005*I28+I28</f>
        <v>12.826808260094403</v>
      </c>
      <c r="K28" s="11">
        <f>-0.01*J28+J28</f>
        <v>12.698540177493459</v>
      </c>
      <c r="L28" s="21"/>
      <c r="M28" s="28">
        <f>K28-0.16</f>
        <v>12.538540177493459</v>
      </c>
      <c r="N28" s="21"/>
      <c r="O28" s="15"/>
      <c r="P28" s="14">
        <f>K30</f>
        <v>6.8317519092802588</v>
      </c>
      <c r="Q28" s="8"/>
    </row>
    <row r="29" spans="1:17" ht="13.5" thickBot="1" x14ac:dyDescent="0.25">
      <c r="B29" s="2"/>
      <c r="C29" s="2"/>
      <c r="D29" s="2"/>
      <c r="E29" s="2"/>
      <c r="F29" s="2"/>
      <c r="G29" s="30" t="s">
        <v>28</v>
      </c>
      <c r="H29" s="30" t="s">
        <v>27</v>
      </c>
      <c r="I29" s="29" t="s">
        <v>26</v>
      </c>
      <c r="J29" s="29" t="s">
        <v>25</v>
      </c>
      <c r="K29" s="121" t="s">
        <v>96</v>
      </c>
      <c r="L29" s="121" t="s">
        <v>95</v>
      </c>
      <c r="N29" s="21"/>
      <c r="O29" s="15"/>
      <c r="P29" s="14" t="s">
        <v>5</v>
      </c>
      <c r="Q29" s="8"/>
    </row>
    <row r="30" spans="1:17" ht="14.25" thickTop="1" thickBot="1" x14ac:dyDescent="0.25">
      <c r="B30" s="2"/>
      <c r="C30" s="2"/>
      <c r="D30" s="2"/>
      <c r="E30" s="2"/>
      <c r="F30" s="17" t="s">
        <v>24</v>
      </c>
      <c r="G30" s="28">
        <f>J18</f>
        <v>4.099051145568156</v>
      </c>
      <c r="H30" s="28">
        <f>J20</f>
        <v>1.912890534598473</v>
      </c>
      <c r="I30" s="28">
        <f>J19</f>
        <v>2.4594306873408933</v>
      </c>
      <c r="J30" s="27">
        <f>J19</f>
        <v>2.4594306873408933</v>
      </c>
      <c r="K30" s="11">
        <f>J16</f>
        <v>6.8317519092802588</v>
      </c>
      <c r="N30" s="21">
        <f>K28</f>
        <v>12.698540177493459</v>
      </c>
      <c r="O30" s="16" t="s">
        <v>22</v>
      </c>
      <c r="P30" s="9"/>
      <c r="Q30" s="8" t="s">
        <v>11</v>
      </c>
    </row>
    <row r="31" spans="1:17" x14ac:dyDescent="0.2">
      <c r="B31" s="1" t="s">
        <v>94</v>
      </c>
      <c r="N31" s="21"/>
      <c r="O31" s="15"/>
      <c r="P31" s="14">
        <f>J30</f>
        <v>2.4594306873408933</v>
      </c>
      <c r="Q31" s="8"/>
    </row>
    <row r="32" spans="1:17" x14ac:dyDescent="0.2">
      <c r="B32" s="1" t="s">
        <v>93</v>
      </c>
      <c r="G32" s="2"/>
      <c r="H32" s="2"/>
      <c r="I32" s="120"/>
      <c r="J32" s="2"/>
      <c r="K32" s="2"/>
      <c r="N32" s="21"/>
      <c r="O32" s="15"/>
      <c r="P32" s="14" t="s">
        <v>5</v>
      </c>
      <c r="Q32" s="8"/>
    </row>
    <row r="33" spans="2:17" ht="13.5" thickBot="1" x14ac:dyDescent="0.25">
      <c r="B33" s="1" t="s">
        <v>92</v>
      </c>
      <c r="G33" s="2"/>
      <c r="H33" s="2"/>
      <c r="I33" s="2"/>
      <c r="J33" s="2"/>
      <c r="K33" s="2"/>
      <c r="N33" s="21">
        <f>J28</f>
        <v>12.826808260094403</v>
      </c>
      <c r="O33" s="16" t="s">
        <v>17</v>
      </c>
      <c r="P33" s="9"/>
      <c r="Q33" s="8"/>
    </row>
    <row r="34" spans="2:17" x14ac:dyDescent="0.2">
      <c r="B34" s="1" t="s">
        <v>91</v>
      </c>
      <c r="G34" s="2"/>
      <c r="H34" s="2"/>
      <c r="I34" s="2"/>
      <c r="J34" s="2"/>
      <c r="K34" s="2"/>
      <c r="N34" s="21"/>
      <c r="O34" s="15"/>
      <c r="P34" s="14">
        <f>I30</f>
        <v>2.4594306873408933</v>
      </c>
      <c r="Q34" s="8"/>
    </row>
    <row r="35" spans="2:17" ht="13.5" thickBot="1" x14ac:dyDescent="0.25">
      <c r="B35" s="2"/>
      <c r="C35" s="2"/>
      <c r="D35" s="2"/>
      <c r="E35" s="22" t="s">
        <v>11</v>
      </c>
      <c r="F35" s="2"/>
      <c r="G35" s="102" t="s">
        <v>90</v>
      </c>
      <c r="H35" s="2"/>
      <c r="I35" s="2"/>
      <c r="J35" s="2"/>
      <c r="K35" s="2"/>
      <c r="N35" s="21">
        <f>I28</f>
        <v>12.89126458300945</v>
      </c>
      <c r="O35" s="16" t="s">
        <v>15</v>
      </c>
      <c r="P35" s="9" t="s">
        <v>5</v>
      </c>
      <c r="Q35" s="8"/>
    </row>
    <row r="36" spans="2:17" ht="13.5" thickBot="1" x14ac:dyDescent="0.25">
      <c r="B36" s="2"/>
      <c r="C36" s="26" t="s">
        <v>89</v>
      </c>
      <c r="D36" s="26"/>
      <c r="E36" s="2"/>
      <c r="F36" s="30"/>
      <c r="G36" s="30"/>
      <c r="H36" s="30"/>
      <c r="I36" s="119">
        <f>H28</f>
        <v>12.89126458300945</v>
      </c>
      <c r="J36" s="118" t="s">
        <v>31</v>
      </c>
      <c r="K36" s="2"/>
      <c r="N36" s="11"/>
      <c r="O36" s="15"/>
      <c r="P36" s="14">
        <f>H30</f>
        <v>1.912890534598473</v>
      </c>
      <c r="Q36" s="8"/>
    </row>
    <row r="37" spans="2:17" ht="14.25" thickTop="1" thickBot="1" x14ac:dyDescent="0.25">
      <c r="B37" s="2"/>
      <c r="C37" s="7"/>
      <c r="D37" s="7"/>
      <c r="E37" s="19"/>
      <c r="F37" s="43"/>
      <c r="G37" s="43"/>
      <c r="H37" s="43"/>
      <c r="I37" s="43"/>
      <c r="J37" s="43"/>
      <c r="K37" s="17" t="s">
        <v>88</v>
      </c>
      <c r="L37" s="1" t="s">
        <v>87</v>
      </c>
      <c r="N37" s="11">
        <f>G19</f>
        <v>12.89126458300945</v>
      </c>
      <c r="O37" s="16" t="s">
        <v>10</v>
      </c>
      <c r="P37" s="9" t="s">
        <v>5</v>
      </c>
      <c r="Q37" s="8"/>
    </row>
    <row r="38" spans="2:17" x14ac:dyDescent="0.2">
      <c r="B38" s="2"/>
      <c r="C38" s="117" t="s">
        <v>86</v>
      </c>
      <c r="D38" s="116"/>
      <c r="E38" s="115"/>
      <c r="F38" s="115"/>
      <c r="G38" s="114"/>
      <c r="H38" s="2"/>
      <c r="I38" s="19" t="s">
        <v>85</v>
      </c>
      <c r="J38" s="2"/>
      <c r="K38" s="2"/>
      <c r="N38" s="11"/>
      <c r="O38" s="15"/>
      <c r="P38" s="14">
        <f>G30</f>
        <v>4.099051145568156</v>
      </c>
      <c r="Q38" s="8"/>
    </row>
    <row r="39" spans="2:17" ht="13.5" thickBot="1" x14ac:dyDescent="0.25">
      <c r="B39" s="2"/>
      <c r="C39" s="113" t="s">
        <v>84</v>
      </c>
      <c r="D39" s="112"/>
      <c r="E39" s="111"/>
      <c r="F39" s="110"/>
      <c r="G39" s="109"/>
      <c r="H39" s="2"/>
      <c r="I39" s="2"/>
      <c r="J39" s="13" t="s">
        <v>83</v>
      </c>
      <c r="K39" s="2"/>
      <c r="N39" s="11">
        <f>G28</f>
        <v>13.729196780905065</v>
      </c>
      <c r="O39" s="10" t="s">
        <v>6</v>
      </c>
      <c r="P39" s="9" t="s">
        <v>5</v>
      </c>
      <c r="Q39" s="8"/>
    </row>
    <row r="40" spans="2:17" x14ac:dyDescent="0.2">
      <c r="B40" s="2"/>
      <c r="C40" s="7"/>
      <c r="D40" s="7"/>
      <c r="E40" s="6"/>
      <c r="F40" s="2"/>
      <c r="G40" s="5"/>
      <c r="H40" s="2"/>
      <c r="I40" s="2"/>
      <c r="J40" s="2"/>
      <c r="K40" s="2"/>
    </row>
    <row r="41" spans="2:17" x14ac:dyDescent="0.2">
      <c r="B41" s="4" t="s">
        <v>11</v>
      </c>
      <c r="C41" s="3" t="s">
        <v>11</v>
      </c>
      <c r="D41" s="3"/>
      <c r="E41" s="3"/>
      <c r="F41" s="2"/>
      <c r="G41" s="2"/>
      <c r="H41" s="2"/>
      <c r="I41" s="2"/>
      <c r="J41" s="2"/>
      <c r="K41" s="2"/>
    </row>
    <row r="42" spans="2:17" x14ac:dyDescent="0.2">
      <c r="I42" s="108" t="s">
        <v>11</v>
      </c>
    </row>
  </sheetData>
  <pageMargins left="0.5" right="0.25" top="0.5" bottom="0.5" header="0.5" footer="0.5"/>
  <pageSetup scale="90" orientation="landscape" horizontalDpi="4294967293" verticalDpi="360" r:id="rId1"/>
  <headerFooter alignWithMargins="0">
    <oddFooter>&amp;L&amp;D&amp;F</oddFooter>
  </headerFooter>
  <drawing r:id="rId2"/>
  <legacyDrawing r:id="rId3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Q46"/>
  <sheetViews>
    <sheetView zoomScale="75" workbookViewId="0">
      <selection activeCell="F1" sqref="F1"/>
    </sheetView>
  </sheetViews>
  <sheetFormatPr defaultRowHeight="12.75" x14ac:dyDescent="0.2"/>
  <cols>
    <col min="1" max="1" width="4.7109375" style="1" customWidth="1"/>
    <col min="2" max="2" width="8.140625" style="1" customWidth="1"/>
    <col min="3" max="3" width="6" style="1" customWidth="1"/>
    <col min="4" max="4" width="1.7109375" style="1" customWidth="1"/>
    <col min="5" max="5" width="10.140625" style="1" bestFit="1" customWidth="1"/>
    <col min="6" max="7" width="9.140625" style="1"/>
    <col min="8" max="8" width="10.140625" style="1" bestFit="1" customWidth="1"/>
    <col min="9" max="16384" width="9.140625" style="1"/>
  </cols>
  <sheetData>
    <row r="1" spans="1:17" ht="30.75" thickBot="1" x14ac:dyDescent="0.45">
      <c r="B1" s="2"/>
      <c r="C1" s="2"/>
      <c r="D1" s="2"/>
      <c r="E1" s="2"/>
      <c r="F1" s="106" t="s">
        <v>329</v>
      </c>
      <c r="G1" s="2"/>
      <c r="H1" s="2"/>
      <c r="I1" s="2"/>
      <c r="J1" s="2"/>
      <c r="K1" s="2"/>
      <c r="L1" s="22" t="s">
        <v>81</v>
      </c>
      <c r="N1" s="32">
        <f>N22</f>
        <v>11.336521885437033</v>
      </c>
      <c r="O1" s="16" t="s">
        <v>316</v>
      </c>
      <c r="P1" s="107"/>
      <c r="Q1" s="193">
        <f>SUM(P2:P5)</f>
        <v>13.663503818560518</v>
      </c>
    </row>
    <row r="2" spans="1:17" ht="14.1" customHeight="1" x14ac:dyDescent="0.25">
      <c r="B2" s="2"/>
      <c r="C2" s="2"/>
      <c r="D2" s="2"/>
      <c r="E2" s="2"/>
      <c r="F2" s="26"/>
      <c r="G2" s="2"/>
      <c r="H2" s="2"/>
      <c r="I2" s="2"/>
      <c r="J2" s="2"/>
      <c r="K2" s="2"/>
      <c r="L2" s="24">
        <f>SUM(P2:P40)/12</f>
        <v>7.1733395047442707</v>
      </c>
      <c r="M2" s="23" t="s">
        <v>21</v>
      </c>
      <c r="N2" s="192"/>
      <c r="O2" s="104"/>
      <c r="P2" s="161">
        <f>J17</f>
        <v>6.8317519092802588</v>
      </c>
      <c r="Q2" s="122" t="s">
        <v>121</v>
      </c>
    </row>
    <row r="3" spans="1:17" ht="14.1" customHeight="1" x14ac:dyDescent="0.4">
      <c r="B3" s="2"/>
      <c r="C3" s="102" t="s">
        <v>199</v>
      </c>
      <c r="D3" s="2"/>
      <c r="E3" s="2"/>
      <c r="F3" s="106"/>
      <c r="G3" s="2"/>
      <c r="H3" s="2"/>
      <c r="I3" s="2"/>
      <c r="J3" s="2"/>
      <c r="K3" s="2"/>
      <c r="L3" s="24"/>
      <c r="M3" s="23"/>
      <c r="N3" s="192"/>
      <c r="O3" s="104"/>
      <c r="P3" s="161"/>
      <c r="Q3" s="122"/>
    </row>
    <row r="4" spans="1:17" ht="13.5" customHeight="1" thickBot="1" x14ac:dyDescent="0.25">
      <c r="B4" s="2"/>
      <c r="C4" s="2" t="s">
        <v>11</v>
      </c>
      <c r="D4" s="2"/>
      <c r="E4" s="2"/>
      <c r="F4" s="26" t="s">
        <v>11</v>
      </c>
      <c r="G4" s="2"/>
      <c r="H4" s="2"/>
      <c r="I4" s="19" t="s">
        <v>11</v>
      </c>
      <c r="J4" s="2"/>
      <c r="K4" s="2"/>
      <c r="L4" s="24">
        <f>SUM(P2:P40)</f>
        <v>86.080074056931252</v>
      </c>
      <c r="M4" s="23" t="s">
        <v>19</v>
      </c>
      <c r="N4" s="160">
        <f>N22</f>
        <v>11.336521885437033</v>
      </c>
      <c r="O4" s="16" t="s">
        <v>80</v>
      </c>
      <c r="P4" s="103"/>
      <c r="Q4" s="191"/>
    </row>
    <row r="5" spans="1:17" ht="12.75" customHeight="1" x14ac:dyDescent="0.2">
      <c r="B5" s="2" t="s">
        <v>11</v>
      </c>
      <c r="C5" s="2" t="s">
        <v>11</v>
      </c>
      <c r="D5" s="2"/>
      <c r="E5" s="26" t="s">
        <v>11</v>
      </c>
      <c r="F5" s="26"/>
      <c r="G5" s="26"/>
      <c r="H5" s="2"/>
      <c r="I5" s="2"/>
      <c r="J5" s="2"/>
      <c r="K5" s="2"/>
      <c r="L5" s="53" t="s">
        <v>11</v>
      </c>
      <c r="M5" s="52" t="s">
        <v>11</v>
      </c>
      <c r="N5" s="160"/>
      <c r="O5" s="15"/>
      <c r="P5" s="190">
        <f>J17</f>
        <v>6.8317519092802588</v>
      </c>
      <c r="Q5" s="122"/>
    </row>
    <row r="6" spans="1:17" ht="12.75" customHeight="1" x14ac:dyDescent="0.2">
      <c r="B6" s="100" t="s">
        <v>11</v>
      </c>
      <c r="C6" s="2"/>
      <c r="D6" s="2"/>
      <c r="E6" s="2"/>
      <c r="F6" s="44" t="s">
        <v>11</v>
      </c>
      <c r="G6" s="43"/>
      <c r="H6" s="2"/>
      <c r="I6" s="100" t="s">
        <v>11</v>
      </c>
      <c r="J6" s="2"/>
      <c r="K6" s="2"/>
      <c r="N6" s="160"/>
      <c r="O6" s="15"/>
      <c r="P6" s="14" t="s">
        <v>5</v>
      </c>
      <c r="Q6" s="122"/>
    </row>
    <row r="7" spans="1:17" ht="13.5" thickBot="1" x14ac:dyDescent="0.25">
      <c r="A7" s="156"/>
      <c r="B7" s="189" t="s">
        <v>125</v>
      </c>
      <c r="C7" s="154"/>
      <c r="D7" s="81"/>
      <c r="H7" s="43"/>
      <c r="I7" s="90" t="s">
        <v>77</v>
      </c>
      <c r="J7" s="2"/>
      <c r="K7" s="2"/>
      <c r="L7" s="26" t="s">
        <v>76</v>
      </c>
      <c r="N7" s="160">
        <f>N22</f>
        <v>11.336521885437033</v>
      </c>
      <c r="O7" s="16" t="s">
        <v>75</v>
      </c>
      <c r="P7" s="9"/>
      <c r="Q7" s="122">
        <f>SUM(P8:P11)</f>
        <v>13.663503818560518</v>
      </c>
    </row>
    <row r="8" spans="1:17" ht="13.5" thickTop="1" x14ac:dyDescent="0.2">
      <c r="A8" s="137"/>
      <c r="B8" s="187" t="s">
        <v>112</v>
      </c>
      <c r="C8" s="141"/>
      <c r="D8" s="81"/>
      <c r="H8" s="98"/>
      <c r="I8" s="84" t="s">
        <v>61</v>
      </c>
      <c r="J8" s="97" t="s">
        <v>60</v>
      </c>
      <c r="K8" s="2"/>
      <c r="L8" s="24">
        <f>SUM(P8:P40)/12</f>
        <v>6.0347141865308949</v>
      </c>
      <c r="M8" s="23" t="s">
        <v>21</v>
      </c>
      <c r="N8" s="160"/>
      <c r="O8" s="15"/>
      <c r="P8" s="161">
        <f>J17</f>
        <v>6.8317519092802588</v>
      </c>
      <c r="Q8" s="122" t="s">
        <v>121</v>
      </c>
    </row>
    <row r="9" spans="1:17" x14ac:dyDescent="0.2">
      <c r="A9" s="137"/>
      <c r="B9" s="186">
        <v>432.1</v>
      </c>
      <c r="C9" s="144" t="s">
        <v>73</v>
      </c>
      <c r="D9" s="41"/>
      <c r="H9" s="80" t="s">
        <v>57</v>
      </c>
      <c r="I9" s="71">
        <f>984/B9</f>
        <v>2.2772506364267531</v>
      </c>
      <c r="J9" s="70">
        <f t="shared" ref="J9:J22" si="0">12*I9</f>
        <v>27.327007637121035</v>
      </c>
      <c r="K9" s="43"/>
      <c r="L9" s="24">
        <f>SUM(P8:P40)</f>
        <v>72.416570238370738</v>
      </c>
      <c r="M9" s="23" t="s">
        <v>19</v>
      </c>
      <c r="N9" s="160" t="s">
        <v>11</v>
      </c>
      <c r="O9" s="15"/>
      <c r="P9" s="14" t="s">
        <v>5</v>
      </c>
      <c r="Q9" s="122"/>
    </row>
    <row r="10" spans="1:17" ht="13.5" thickBot="1" x14ac:dyDescent="0.25">
      <c r="A10" s="137"/>
      <c r="B10" s="151" t="s">
        <v>11</v>
      </c>
      <c r="C10" s="141"/>
      <c r="D10" s="81"/>
      <c r="H10" s="75" t="s">
        <v>54</v>
      </c>
      <c r="I10" s="71">
        <f>3*I13</f>
        <v>1.7079379773200647</v>
      </c>
      <c r="J10" s="70">
        <f t="shared" si="0"/>
        <v>20.495255727840778</v>
      </c>
      <c r="K10" s="43"/>
      <c r="L10" s="26" t="s">
        <v>11</v>
      </c>
      <c r="N10" s="160">
        <f>N22</f>
        <v>11.336521885437033</v>
      </c>
      <c r="O10" s="16" t="s">
        <v>72</v>
      </c>
      <c r="P10" s="9"/>
      <c r="Q10" s="122"/>
    </row>
    <row r="11" spans="1:17" x14ac:dyDescent="0.2">
      <c r="A11" s="137"/>
      <c r="B11" s="150" t="s">
        <v>11</v>
      </c>
      <c r="C11" s="141"/>
      <c r="D11" s="81"/>
      <c r="H11" s="75" t="s">
        <v>52</v>
      </c>
      <c r="I11" s="71">
        <f>5*I14</f>
        <v>1.4232816477667207</v>
      </c>
      <c r="J11" s="70">
        <f t="shared" si="0"/>
        <v>17.07937977320065</v>
      </c>
      <c r="K11" s="43"/>
      <c r="L11" s="53" t="s">
        <v>11</v>
      </c>
      <c r="M11" s="52" t="s">
        <v>11</v>
      </c>
      <c r="N11" s="160"/>
      <c r="O11" s="15"/>
      <c r="P11" s="161">
        <f>J17</f>
        <v>6.8317519092802588</v>
      </c>
      <c r="Q11" s="122"/>
    </row>
    <row r="12" spans="1:17" x14ac:dyDescent="0.2">
      <c r="A12" s="137"/>
      <c r="B12" s="187" t="s">
        <v>11</v>
      </c>
      <c r="C12" s="141"/>
      <c r="D12" s="81"/>
      <c r="H12" s="68" t="s">
        <v>69</v>
      </c>
      <c r="I12" s="93">
        <f>I9/2</f>
        <v>1.1386253182133765</v>
      </c>
      <c r="J12" s="147">
        <f t="shared" si="0"/>
        <v>13.663503818560518</v>
      </c>
      <c r="K12" s="43" t="s">
        <v>11</v>
      </c>
      <c r="N12" s="160"/>
      <c r="O12" s="15"/>
      <c r="P12" s="14" t="s">
        <v>5</v>
      </c>
      <c r="Q12" s="122"/>
    </row>
    <row r="13" spans="1:17" ht="13.5" thickBot="1" x14ac:dyDescent="0.25">
      <c r="A13" s="137"/>
      <c r="B13" s="188" t="s">
        <v>124</v>
      </c>
      <c r="C13" s="141"/>
      <c r="D13" s="81"/>
      <c r="H13" s="75" t="s">
        <v>44</v>
      </c>
      <c r="I13" s="71">
        <f>I12/2</f>
        <v>0.56931265910668827</v>
      </c>
      <c r="J13" s="70">
        <f t="shared" si="0"/>
        <v>6.8317519092802588</v>
      </c>
      <c r="K13" s="43" t="s">
        <v>11</v>
      </c>
      <c r="L13" s="26" t="s">
        <v>67</v>
      </c>
      <c r="N13" s="160">
        <f>N22</f>
        <v>11.336521885437033</v>
      </c>
      <c r="O13" s="16" t="s">
        <v>66</v>
      </c>
      <c r="P13" s="9"/>
      <c r="Q13" s="122">
        <f>SUM(P14:P17)</f>
        <v>13.663503818560518</v>
      </c>
    </row>
    <row r="14" spans="1:17" x14ac:dyDescent="0.2">
      <c r="A14" s="137"/>
      <c r="B14" s="187" t="s">
        <v>123</v>
      </c>
      <c r="C14" s="141"/>
      <c r="D14" s="81"/>
      <c r="H14" s="68" t="s">
        <v>65</v>
      </c>
      <c r="I14" s="67">
        <f>I13/2</f>
        <v>0.28465632955334413</v>
      </c>
      <c r="J14" s="76">
        <f t="shared" si="0"/>
        <v>3.4158759546401294</v>
      </c>
      <c r="K14" s="43"/>
      <c r="L14" s="24">
        <f>SUM(P14:P40)/12</f>
        <v>4.8960888683175181</v>
      </c>
      <c r="M14" s="23" t="s">
        <v>21</v>
      </c>
      <c r="N14" s="160"/>
      <c r="O14" s="15"/>
      <c r="P14" s="161">
        <f>J17</f>
        <v>6.8317519092802588</v>
      </c>
      <c r="Q14" s="122" t="s">
        <v>121</v>
      </c>
    </row>
    <row r="15" spans="1:17" ht="13.5" thickBot="1" x14ac:dyDescent="0.25">
      <c r="A15" s="137"/>
      <c r="B15" s="187" t="s">
        <v>107</v>
      </c>
      <c r="C15" s="141"/>
      <c r="D15" s="81"/>
      <c r="E15" s="26"/>
      <c r="F15" s="90" t="s">
        <v>63</v>
      </c>
      <c r="G15" s="89"/>
      <c r="H15" s="72">
        <v>0.5</v>
      </c>
      <c r="I15" s="71">
        <f>I9/2</f>
        <v>1.1386253182133765</v>
      </c>
      <c r="J15" s="152">
        <f t="shared" si="0"/>
        <v>13.663503818560518</v>
      </c>
      <c r="K15" s="2"/>
      <c r="L15" s="24">
        <f>SUM(P14:P40)</f>
        <v>58.753066419810217</v>
      </c>
      <c r="M15" s="23" t="s">
        <v>19</v>
      </c>
      <c r="N15" s="160"/>
      <c r="O15" s="15"/>
      <c r="P15" s="14" t="s">
        <v>5</v>
      </c>
      <c r="Q15" s="122"/>
    </row>
    <row r="16" spans="1:17" ht="14.25" thickTop="1" thickBot="1" x14ac:dyDescent="0.25">
      <c r="A16" s="137"/>
      <c r="B16" s="186">
        <v>0.95699999999999996</v>
      </c>
      <c r="C16" s="144" t="s">
        <v>106</v>
      </c>
      <c r="D16" s="86"/>
      <c r="E16" s="85" t="s">
        <v>11</v>
      </c>
      <c r="F16" s="84" t="s">
        <v>61</v>
      </c>
      <c r="G16" s="83" t="s">
        <v>60</v>
      </c>
      <c r="H16" s="72">
        <v>0.3</v>
      </c>
      <c r="I16" s="71">
        <f>0.3*I9</f>
        <v>0.68317519092802592</v>
      </c>
      <c r="J16" s="70">
        <f t="shared" si="0"/>
        <v>8.1981022911363119</v>
      </c>
      <c r="K16" s="2"/>
      <c r="L16" s="26" t="s">
        <v>11</v>
      </c>
      <c r="N16" s="160">
        <f>N22</f>
        <v>11.336521885437033</v>
      </c>
      <c r="O16" s="16" t="s">
        <v>59</v>
      </c>
      <c r="P16" s="9"/>
      <c r="Q16" s="122"/>
    </row>
    <row r="17" spans="1:17" x14ac:dyDescent="0.2">
      <c r="A17" s="137"/>
      <c r="B17" s="142" t="s">
        <v>11</v>
      </c>
      <c r="C17" s="141"/>
      <c r="D17" s="81"/>
      <c r="E17" s="80" t="s">
        <v>57</v>
      </c>
      <c r="F17" s="71">
        <f>11810*B16/B9/12</f>
        <v>2.1796979865771813</v>
      </c>
      <c r="G17" s="70">
        <f>11810*B16/B9</f>
        <v>26.156375838926174</v>
      </c>
      <c r="H17" s="72">
        <v>0.25</v>
      </c>
      <c r="I17" s="71">
        <f>0.25*I9</f>
        <v>0.56931265910668827</v>
      </c>
      <c r="J17" s="152">
        <f t="shared" si="0"/>
        <v>6.8317519092802588</v>
      </c>
      <c r="K17" s="2"/>
      <c r="L17" s="53" t="s">
        <v>11</v>
      </c>
      <c r="M17" s="52" t="s">
        <v>11</v>
      </c>
      <c r="N17" s="160"/>
      <c r="O17" s="15"/>
      <c r="P17" s="161">
        <f>J17</f>
        <v>6.8317519092802588</v>
      </c>
      <c r="Q17" s="122"/>
    </row>
    <row r="18" spans="1:17" x14ac:dyDescent="0.2">
      <c r="A18" s="137"/>
      <c r="B18" s="140" t="s">
        <v>104</v>
      </c>
      <c r="C18" s="139" t="s">
        <v>55</v>
      </c>
      <c r="D18" s="78"/>
      <c r="E18" s="75" t="s">
        <v>54</v>
      </c>
      <c r="F18" s="71">
        <f>F22+F20</f>
        <v>1.6347734899328858</v>
      </c>
      <c r="G18" s="70">
        <f>G22+G20</f>
        <v>19.411326163927495</v>
      </c>
      <c r="H18" s="77">
        <v>0.2</v>
      </c>
      <c r="I18" s="67">
        <f>0.2*I9</f>
        <v>0.45545012728535061</v>
      </c>
      <c r="J18" s="147">
        <f t="shared" si="0"/>
        <v>5.4654015274242074</v>
      </c>
      <c r="K18" s="2"/>
      <c r="N18" s="160"/>
      <c r="O18" s="15"/>
      <c r="P18" s="14" t="s">
        <v>5</v>
      </c>
      <c r="Q18" s="122"/>
    </row>
    <row r="19" spans="1:17" ht="13.5" thickBot="1" x14ac:dyDescent="0.25">
      <c r="A19" s="137"/>
      <c r="B19" s="184" t="s">
        <v>53</v>
      </c>
      <c r="C19" s="182">
        <v>0.94199999999999995</v>
      </c>
      <c r="D19" s="59"/>
      <c r="E19" s="75" t="s">
        <v>52</v>
      </c>
      <c r="F19" s="71">
        <f>F22/2*5</f>
        <v>1.3623112416107384</v>
      </c>
      <c r="G19" s="70">
        <f>G22/2*5</f>
        <v>16.347734899328859</v>
      </c>
      <c r="H19" s="72">
        <v>0.15</v>
      </c>
      <c r="I19" s="71">
        <f>0.15*I9</f>
        <v>0.34158759546401296</v>
      </c>
      <c r="J19" s="152">
        <f t="shared" si="0"/>
        <v>4.099051145568156</v>
      </c>
      <c r="K19" s="2" t="s">
        <v>11</v>
      </c>
      <c r="L19" s="26" t="s">
        <v>51</v>
      </c>
      <c r="N19" s="160">
        <f>N22</f>
        <v>11.336521885437033</v>
      </c>
      <c r="O19" s="16" t="s">
        <v>50</v>
      </c>
      <c r="P19" s="9"/>
      <c r="Q19" s="122">
        <f>SUM(P20:P23)</f>
        <v>13.663503818560518</v>
      </c>
    </row>
    <row r="20" spans="1:17" x14ac:dyDescent="0.2">
      <c r="A20" s="137"/>
      <c r="B20" s="185" t="s">
        <v>49</v>
      </c>
      <c r="C20" s="182">
        <v>0.95</v>
      </c>
      <c r="D20" s="59"/>
      <c r="E20" s="68" t="s">
        <v>48</v>
      </c>
      <c r="F20" s="73">
        <f>F17/2</f>
        <v>1.0898489932885906</v>
      </c>
      <c r="G20" s="66">
        <f>11810*B16/B9/2.032</f>
        <v>12.872232204195951</v>
      </c>
      <c r="H20" s="72">
        <v>0.1</v>
      </c>
      <c r="I20" s="71">
        <f>0.1*I9</f>
        <v>0.22772506364267531</v>
      </c>
      <c r="J20" s="152">
        <f t="shared" si="0"/>
        <v>2.7327007637121037</v>
      </c>
      <c r="K20" s="2"/>
      <c r="L20" s="24">
        <f>SUM(P20:P40)/12</f>
        <v>3.7574635501041418</v>
      </c>
      <c r="M20" s="23" t="s">
        <v>21</v>
      </c>
      <c r="N20" s="160"/>
      <c r="O20" s="15"/>
      <c r="P20" s="161">
        <f>J17</f>
        <v>6.8317519092802588</v>
      </c>
      <c r="Q20" s="122" t="s">
        <v>121</v>
      </c>
    </row>
    <row r="21" spans="1:17" x14ac:dyDescent="0.2">
      <c r="A21" s="137"/>
      <c r="B21" s="184" t="s">
        <v>47</v>
      </c>
      <c r="C21" s="182">
        <v>0.95699999999999996</v>
      </c>
      <c r="D21" s="59"/>
      <c r="E21" s="68" t="s">
        <v>46</v>
      </c>
      <c r="F21" s="67" t="s">
        <v>11</v>
      </c>
      <c r="G21" s="66">
        <f>11810*0.95/B9/2.029</f>
        <v>12.796971111660374</v>
      </c>
      <c r="H21" s="65">
        <v>0.08</v>
      </c>
      <c r="I21" s="64">
        <f>0.08*I9</f>
        <v>0.18218005091414025</v>
      </c>
      <c r="J21" s="63">
        <f t="shared" si="0"/>
        <v>2.1861606109696829</v>
      </c>
      <c r="K21" s="2"/>
      <c r="L21" s="24">
        <f>SUM(P20:P40)</f>
        <v>45.089562601249703</v>
      </c>
      <c r="M21" s="23" t="s">
        <v>19</v>
      </c>
      <c r="N21" s="160"/>
      <c r="O21" s="15"/>
      <c r="P21" s="14" t="s">
        <v>5</v>
      </c>
      <c r="Q21" s="8"/>
    </row>
    <row r="22" spans="1:17" ht="13.5" thickBot="1" x14ac:dyDescent="0.25">
      <c r="A22" s="137"/>
      <c r="B22" s="183" t="s">
        <v>45</v>
      </c>
      <c r="C22" s="182">
        <v>0.96199999999999997</v>
      </c>
      <c r="D22" s="59"/>
      <c r="E22" s="58" t="s">
        <v>44</v>
      </c>
      <c r="F22" s="55">
        <f>F17/4</f>
        <v>0.54492449664429532</v>
      </c>
      <c r="G22" s="55">
        <f>G17/4</f>
        <v>6.5390939597315434</v>
      </c>
      <c r="H22" s="57">
        <v>7.0000000000000007E-2</v>
      </c>
      <c r="I22" s="56">
        <f>0.07*I9</f>
        <v>0.15940754454987274</v>
      </c>
      <c r="J22" s="55">
        <f t="shared" si="0"/>
        <v>1.912890534598473</v>
      </c>
      <c r="K22" s="54"/>
      <c r="L22" s="53" t="s">
        <v>11</v>
      </c>
      <c r="M22" s="52" t="s">
        <v>11</v>
      </c>
      <c r="N22" s="160">
        <f>N25</f>
        <v>11.336521885437033</v>
      </c>
      <c r="O22" s="16" t="s">
        <v>43</v>
      </c>
      <c r="P22" s="9"/>
      <c r="Q22" s="8" t="s">
        <v>11</v>
      </c>
    </row>
    <row r="23" spans="1:17" ht="13.5" thickTop="1" x14ac:dyDescent="0.2">
      <c r="A23" s="281" t="s">
        <v>100</v>
      </c>
      <c r="B23" s="50"/>
      <c r="C23" s="50"/>
      <c r="D23" s="50"/>
      <c r="E23" s="49"/>
      <c r="F23" s="48" t="s">
        <v>41</v>
      </c>
      <c r="G23" s="47"/>
      <c r="H23" s="2"/>
      <c r="I23" s="2"/>
      <c r="J23" s="2"/>
      <c r="K23" s="2"/>
      <c r="N23" s="160"/>
      <c r="O23" s="15"/>
      <c r="P23" s="161">
        <f>J17</f>
        <v>6.8317519092802588</v>
      </c>
      <c r="Q23" s="8"/>
    </row>
    <row r="24" spans="1:17" x14ac:dyDescent="0.2">
      <c r="B24" s="3" t="s">
        <v>157</v>
      </c>
      <c r="C24" s="3"/>
      <c r="D24" s="3"/>
      <c r="G24" s="2"/>
      <c r="H24" s="2"/>
      <c r="I24" s="2"/>
      <c r="J24" s="2"/>
      <c r="K24" s="2"/>
      <c r="N24" s="160"/>
      <c r="O24" s="15"/>
      <c r="P24" s="14" t="s">
        <v>5</v>
      </c>
      <c r="Q24" s="8"/>
    </row>
    <row r="25" spans="1:17" ht="13.5" thickBot="1" x14ac:dyDescent="0.25">
      <c r="B25" s="3"/>
      <c r="C25" s="3" t="s">
        <v>11</v>
      </c>
      <c r="D25" s="3"/>
      <c r="G25" s="2"/>
      <c r="H25" s="2"/>
      <c r="I25" s="2"/>
      <c r="J25" s="2"/>
      <c r="K25" s="5" t="s">
        <v>11</v>
      </c>
      <c r="L25" s="26" t="s">
        <v>38</v>
      </c>
      <c r="N25" s="160">
        <f>M28-0.6</f>
        <v>11.336521885437033</v>
      </c>
      <c r="O25" s="16" t="s">
        <v>37</v>
      </c>
      <c r="P25" s="9"/>
      <c r="Q25" s="122">
        <f>SUM(P26:P29)</f>
        <v>13.663503818560518</v>
      </c>
    </row>
    <row r="26" spans="1:17" x14ac:dyDescent="0.2">
      <c r="B26" s="2"/>
      <c r="C26" s="2"/>
      <c r="D26" s="2"/>
      <c r="E26" s="2"/>
      <c r="F26" s="2" t="s">
        <v>11</v>
      </c>
      <c r="G26" s="2"/>
      <c r="H26" s="2"/>
      <c r="I26" s="2"/>
      <c r="J26" s="2"/>
      <c r="K26" s="2"/>
      <c r="L26" s="24">
        <f>SUM(P26:P39)/12</f>
        <v>2.6188382318907659</v>
      </c>
      <c r="M26" s="23" t="s">
        <v>21</v>
      </c>
      <c r="N26" s="32"/>
      <c r="O26" s="15"/>
      <c r="P26" s="161">
        <f>J17</f>
        <v>6.8317519092802588</v>
      </c>
      <c r="Q26" s="181" t="s">
        <v>121</v>
      </c>
    </row>
    <row r="27" spans="1:17" x14ac:dyDescent="0.2">
      <c r="B27" s="2" t="s">
        <v>11</v>
      </c>
      <c r="C27" s="2"/>
      <c r="D27" s="180"/>
      <c r="E27" s="179" t="s">
        <v>36</v>
      </c>
      <c r="F27" s="178" t="s">
        <v>120</v>
      </c>
      <c r="G27" s="177"/>
      <c r="H27" s="177"/>
      <c r="I27" s="176">
        <f>B9</f>
        <v>432.1</v>
      </c>
      <c r="J27" s="176" t="s">
        <v>34</v>
      </c>
      <c r="K27" s="2"/>
      <c r="L27" s="24">
        <f>SUM(P26:P39)</f>
        <v>31.426058782689189</v>
      </c>
      <c r="M27" s="23" t="s">
        <v>19</v>
      </c>
      <c r="N27" s="32"/>
      <c r="O27" s="15"/>
      <c r="P27" s="14" t="s">
        <v>5</v>
      </c>
      <c r="Q27" s="8"/>
    </row>
    <row r="28" spans="1:17" ht="13.5" thickBot="1" x14ac:dyDescent="0.25">
      <c r="B28" s="2"/>
      <c r="C28" s="2"/>
      <c r="D28" s="2"/>
      <c r="E28" s="40"/>
      <c r="F28" s="17" t="s">
        <v>33</v>
      </c>
      <c r="G28" s="175">
        <f>L26</f>
        <v>2.6188382318907659</v>
      </c>
      <c r="H28" s="174" t="s">
        <v>32</v>
      </c>
      <c r="I28" s="173">
        <f>SUM(G31:L31)</f>
        <v>31.426058782689189</v>
      </c>
      <c r="J28" s="172" t="s">
        <v>31</v>
      </c>
      <c r="K28" s="171"/>
      <c r="L28" s="34"/>
      <c r="M28" s="170">
        <f>K29-0.16</f>
        <v>11.936521885437033</v>
      </c>
      <c r="N28" s="32">
        <f>M28</f>
        <v>11.936521885437033</v>
      </c>
      <c r="O28" s="16" t="s">
        <v>30</v>
      </c>
      <c r="P28" s="169"/>
      <c r="Q28" s="8" t="s">
        <v>11</v>
      </c>
    </row>
    <row r="29" spans="1:17" x14ac:dyDescent="0.2">
      <c r="B29" s="2" t="s">
        <v>11</v>
      </c>
      <c r="C29" s="2"/>
      <c r="D29" s="2"/>
      <c r="E29" s="168"/>
      <c r="F29" s="167" t="s">
        <v>97</v>
      </c>
      <c r="G29" s="166">
        <f>0.065*G20+G20</f>
        <v>13.708927297468687</v>
      </c>
      <c r="H29" s="32">
        <f>G21</f>
        <v>12.796971111660374</v>
      </c>
      <c r="I29" s="160">
        <f>-0.046*G20+G20</f>
        <v>12.280109522802938</v>
      </c>
      <c r="J29" s="160">
        <f>-0.005*I29+I29</f>
        <v>12.218708975188923</v>
      </c>
      <c r="K29" s="160">
        <f>-0.01*J29+J29</f>
        <v>12.096521885437033</v>
      </c>
      <c r="L29" s="32">
        <f>N28</f>
        <v>11.936521885437033</v>
      </c>
      <c r="M29" s="165">
        <f>N25</f>
        <v>11.336521885437033</v>
      </c>
      <c r="N29" s="32"/>
      <c r="O29" s="15"/>
      <c r="P29" s="161">
        <f>J17</f>
        <v>6.8317519092802588</v>
      </c>
      <c r="Q29" s="8"/>
    </row>
    <row r="30" spans="1:17" ht="13.5" thickBot="1" x14ac:dyDescent="0.25">
      <c r="B30" s="2"/>
      <c r="C30" s="2"/>
      <c r="D30" s="2"/>
      <c r="E30" s="2"/>
      <c r="F30" s="2"/>
      <c r="G30" s="30" t="s">
        <v>28</v>
      </c>
      <c r="H30" s="30" t="s">
        <v>27</v>
      </c>
      <c r="I30" s="29" t="s">
        <v>26</v>
      </c>
      <c r="J30" s="29" t="s">
        <v>25</v>
      </c>
      <c r="K30" s="107"/>
      <c r="L30" s="107"/>
      <c r="N30" s="32"/>
      <c r="O30" s="15"/>
      <c r="P30" s="14" t="s">
        <v>5</v>
      </c>
      <c r="Q30" s="8"/>
    </row>
    <row r="31" spans="1:17" ht="14.25" thickTop="1" thickBot="1" x14ac:dyDescent="0.25">
      <c r="B31" s="159"/>
      <c r="C31" s="159"/>
      <c r="D31" s="159"/>
      <c r="E31" s="159"/>
      <c r="F31" s="164" t="s">
        <v>119</v>
      </c>
      <c r="G31" s="163">
        <f>J19</f>
        <v>4.099051145568156</v>
      </c>
      <c r="H31" s="163">
        <f>J20</f>
        <v>2.7327007637121037</v>
      </c>
      <c r="I31" s="163">
        <f>J18</f>
        <v>5.4654015274242074</v>
      </c>
      <c r="J31" s="122">
        <f>J18</f>
        <v>5.4654015274242074</v>
      </c>
      <c r="K31" s="163">
        <f>P29</f>
        <v>6.8317519092802588</v>
      </c>
      <c r="L31" s="163">
        <f>P26</f>
        <v>6.8317519092802588</v>
      </c>
      <c r="N31" s="32">
        <f>K29</f>
        <v>12.096521885437033</v>
      </c>
      <c r="O31" s="16" t="s">
        <v>22</v>
      </c>
      <c r="P31" s="9"/>
      <c r="Q31" s="122" t="s">
        <v>11</v>
      </c>
    </row>
    <row r="32" spans="1:17" x14ac:dyDescent="0.2">
      <c r="G32" s="2" t="s">
        <v>11</v>
      </c>
      <c r="H32" s="2" t="s">
        <v>11</v>
      </c>
      <c r="I32" s="2" t="s">
        <v>11</v>
      </c>
      <c r="J32" s="2" t="s">
        <v>11</v>
      </c>
      <c r="K32" s="2" t="s">
        <v>11</v>
      </c>
      <c r="L32" s="53" t="s">
        <v>11</v>
      </c>
      <c r="M32" s="52" t="s">
        <v>11</v>
      </c>
      <c r="N32" s="32"/>
      <c r="O32" s="15"/>
      <c r="P32" s="161">
        <f>J31</f>
        <v>5.4654015274242074</v>
      </c>
      <c r="Q32" s="8"/>
    </row>
    <row r="33" spans="2:17" x14ac:dyDescent="0.2">
      <c r="B33" s="48" t="s">
        <v>94</v>
      </c>
      <c r="G33" s="2"/>
      <c r="H33" s="2"/>
      <c r="I33" s="120"/>
      <c r="J33" s="2"/>
      <c r="K33" s="2"/>
      <c r="L33" s="53" t="s">
        <v>11</v>
      </c>
      <c r="M33" s="52" t="s">
        <v>11</v>
      </c>
      <c r="N33" s="32"/>
      <c r="O33" s="15"/>
      <c r="P33" s="14" t="s">
        <v>5</v>
      </c>
      <c r="Q33" s="8"/>
    </row>
    <row r="34" spans="2:17" ht="13.5" thickBot="1" x14ac:dyDescent="0.25">
      <c r="B34" s="48" t="s">
        <v>118</v>
      </c>
      <c r="G34" s="2"/>
      <c r="H34" s="2"/>
      <c r="I34" s="2"/>
      <c r="J34" s="2"/>
      <c r="K34" s="2"/>
      <c r="N34" s="32">
        <f>J29</f>
        <v>12.218708975188923</v>
      </c>
      <c r="O34" s="16" t="s">
        <v>17</v>
      </c>
      <c r="P34" s="9"/>
      <c r="Q34" s="8"/>
    </row>
    <row r="35" spans="2:17" x14ac:dyDescent="0.2">
      <c r="B35" s="48" t="s">
        <v>92</v>
      </c>
      <c r="G35" s="2"/>
      <c r="H35" s="2"/>
      <c r="I35" s="2"/>
      <c r="J35" s="2"/>
      <c r="K35" s="2"/>
      <c r="N35" s="32"/>
      <c r="O35" s="15"/>
      <c r="P35" s="161">
        <f>I31</f>
        <v>5.4654015274242074</v>
      </c>
      <c r="Q35" s="8"/>
    </row>
    <row r="36" spans="2:17" ht="13.5" thickBot="1" x14ac:dyDescent="0.25">
      <c r="B36" s="48" t="s">
        <v>91</v>
      </c>
      <c r="C36" s="2"/>
      <c r="D36" s="2"/>
      <c r="G36" s="102" t="s">
        <v>198</v>
      </c>
      <c r="H36" s="2"/>
      <c r="I36" s="2"/>
      <c r="J36" s="2"/>
      <c r="K36" s="2"/>
      <c r="N36" s="32">
        <f>I29</f>
        <v>12.280109522802938</v>
      </c>
      <c r="O36" s="16" t="s">
        <v>15</v>
      </c>
      <c r="P36" s="9" t="s">
        <v>5</v>
      </c>
      <c r="Q36" s="8"/>
    </row>
    <row r="37" spans="2:17" ht="13.5" thickBot="1" x14ac:dyDescent="0.25">
      <c r="B37" s="2"/>
      <c r="C37" s="26" t="s">
        <v>89</v>
      </c>
      <c r="D37" s="26"/>
      <c r="E37" s="2"/>
      <c r="F37" s="30"/>
      <c r="G37" s="30"/>
      <c r="H37" s="30"/>
      <c r="I37" s="162">
        <f>11810*0.95/B9/2.029</f>
        <v>12.796971111660374</v>
      </c>
      <c r="J37" s="118" t="s">
        <v>31</v>
      </c>
      <c r="K37" s="2"/>
      <c r="L37" s="1" t="s">
        <v>11</v>
      </c>
      <c r="N37" s="160"/>
      <c r="O37" s="15"/>
      <c r="P37" s="161">
        <f>H31</f>
        <v>2.7327007637121037</v>
      </c>
      <c r="Q37" s="8"/>
    </row>
    <row r="38" spans="2:17" ht="14.25" thickTop="1" thickBot="1" x14ac:dyDescent="0.25">
      <c r="B38" s="2"/>
      <c r="C38" s="7"/>
      <c r="D38" s="7"/>
      <c r="E38" s="19"/>
      <c r="F38" s="43"/>
      <c r="G38" s="43"/>
      <c r="H38" s="43"/>
      <c r="I38" s="43"/>
      <c r="J38" s="43"/>
      <c r="K38" s="17" t="s">
        <v>88</v>
      </c>
      <c r="L38" s="1" t="s">
        <v>87</v>
      </c>
      <c r="N38" s="160">
        <f>G21</f>
        <v>12.796971111660374</v>
      </c>
      <c r="O38" s="16" t="s">
        <v>10</v>
      </c>
      <c r="P38" s="9" t="s">
        <v>5</v>
      </c>
      <c r="Q38" s="8"/>
    </row>
    <row r="39" spans="2:17" x14ac:dyDescent="0.2">
      <c r="B39" s="2"/>
      <c r="C39" s="117" t="s">
        <v>86</v>
      </c>
      <c r="D39" s="116"/>
      <c r="E39" s="115"/>
      <c r="F39" s="115"/>
      <c r="G39" s="114"/>
      <c r="H39" s="2"/>
      <c r="I39" s="19" t="s">
        <v>85</v>
      </c>
      <c r="J39" s="2"/>
      <c r="K39" s="2"/>
      <c r="N39" s="160"/>
      <c r="O39" s="15"/>
      <c r="P39" s="161">
        <f>J19</f>
        <v>4.099051145568156</v>
      </c>
      <c r="Q39" s="8"/>
    </row>
    <row r="40" spans="2:17" ht="13.5" thickBot="1" x14ac:dyDescent="0.25">
      <c r="B40" s="2"/>
      <c r="C40" s="113" t="s">
        <v>84</v>
      </c>
      <c r="D40" s="112"/>
      <c r="E40" s="111"/>
      <c r="F40" s="110"/>
      <c r="G40" s="109"/>
      <c r="H40" s="2"/>
      <c r="I40" s="2"/>
      <c r="J40" s="13" t="s">
        <v>83</v>
      </c>
      <c r="K40" s="2"/>
      <c r="N40" s="160">
        <f>G29</f>
        <v>13.708927297468687</v>
      </c>
      <c r="O40" s="10" t="s">
        <v>6</v>
      </c>
      <c r="P40" s="9" t="s">
        <v>5</v>
      </c>
      <c r="Q40" s="8"/>
    </row>
    <row r="41" spans="2:17" x14ac:dyDescent="0.2">
      <c r="B41" s="2"/>
      <c r="C41" s="7"/>
      <c r="D41" s="7"/>
      <c r="E41" s="6"/>
      <c r="F41" s="2"/>
      <c r="G41" s="5"/>
      <c r="H41" s="2"/>
      <c r="I41" s="2"/>
      <c r="J41" s="2"/>
      <c r="K41" s="2"/>
    </row>
    <row r="42" spans="2:17" x14ac:dyDescent="0.2">
      <c r="B42" s="4" t="s">
        <v>11</v>
      </c>
      <c r="C42" s="3" t="s">
        <v>11</v>
      </c>
      <c r="D42" s="3"/>
      <c r="E42" s="3"/>
      <c r="F42" s="2"/>
      <c r="G42" s="2"/>
      <c r="H42" s="2"/>
      <c r="I42" s="2"/>
      <c r="J42" s="2"/>
      <c r="K42" s="2"/>
    </row>
    <row r="46" spans="2:17" x14ac:dyDescent="0.2">
      <c r="O46" s="159"/>
    </row>
  </sheetData>
  <pageMargins left="0.5" right="0.25" top="0.5" bottom="0.5" header="0.5" footer="0.5"/>
  <pageSetup scale="85" orientation="landscape" horizontalDpi="360" verticalDpi="360" r:id="rId1"/>
  <headerFooter alignWithMargins="0">
    <oddFooter>&amp;L&amp;D&amp;F</oddFooter>
  </headerFooter>
  <drawing r:id="rId2"/>
  <legacyDrawing r:id="rId3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P45"/>
  <sheetViews>
    <sheetView zoomScale="75" workbookViewId="0">
      <selection activeCell="M3" sqref="M3"/>
    </sheetView>
  </sheetViews>
  <sheetFormatPr defaultRowHeight="12.75" x14ac:dyDescent="0.2"/>
  <cols>
    <col min="1" max="1" width="2.7109375" style="1" customWidth="1"/>
    <col min="2" max="2" width="8.140625" style="1" customWidth="1"/>
    <col min="3" max="3" width="6" style="1" customWidth="1"/>
    <col min="4" max="4" width="10.140625" style="1" bestFit="1" customWidth="1"/>
    <col min="5" max="6" width="9.140625" style="1"/>
    <col min="7" max="7" width="10.140625" style="1" bestFit="1" customWidth="1"/>
    <col min="8" max="9" width="9.140625" style="1"/>
    <col min="10" max="10" width="12.28515625" style="1" bestFit="1" customWidth="1"/>
    <col min="11" max="11" width="7.28515625" style="1" customWidth="1"/>
    <col min="12" max="16384" width="9.140625" style="1"/>
  </cols>
  <sheetData>
    <row r="1" spans="1:16" x14ac:dyDescent="0.2">
      <c r="B1" s="2"/>
      <c r="C1" s="2"/>
      <c r="D1" s="2"/>
      <c r="E1" s="2"/>
      <c r="F1" s="2"/>
      <c r="G1" s="2"/>
      <c r="H1" s="2"/>
      <c r="I1" s="2"/>
      <c r="J1" s="2"/>
      <c r="M1" s="158"/>
    </row>
    <row r="2" spans="1:16" ht="30" x14ac:dyDescent="0.4">
      <c r="B2" s="2"/>
      <c r="C2" s="2"/>
      <c r="D2" s="2"/>
      <c r="E2" s="106" t="s">
        <v>330</v>
      </c>
      <c r="F2" s="2"/>
      <c r="G2" s="2"/>
      <c r="H2" s="2"/>
      <c r="I2" s="2"/>
      <c r="J2" s="2"/>
      <c r="K2" s="90" t="s">
        <v>11</v>
      </c>
      <c r="M2" s="105"/>
      <c r="N2" s="104"/>
    </row>
    <row r="3" spans="1:16" x14ac:dyDescent="0.2">
      <c r="B3" s="2"/>
      <c r="C3" s="2" t="s">
        <v>11</v>
      </c>
      <c r="D3" s="2"/>
      <c r="E3" s="26"/>
      <c r="F3" s="2"/>
      <c r="G3" s="2"/>
      <c r="H3" s="19" t="s">
        <v>11</v>
      </c>
      <c r="I3" s="2"/>
      <c r="J3" s="2"/>
      <c r="K3" s="90"/>
      <c r="M3" s="219"/>
      <c r="N3" s="207"/>
      <c r="O3" s="207"/>
      <c r="P3" s="15"/>
    </row>
    <row r="4" spans="1:16" ht="12.75" customHeight="1" x14ac:dyDescent="0.2">
      <c r="B4" s="2" t="s">
        <v>11</v>
      </c>
      <c r="C4" s="26" t="s">
        <v>206</v>
      </c>
      <c r="D4" s="2"/>
      <c r="E4" s="2"/>
      <c r="F4" s="2"/>
      <c r="G4" s="2"/>
      <c r="H4" s="2"/>
      <c r="I4" s="2"/>
      <c r="J4" s="2"/>
    </row>
    <row r="5" spans="1:16" ht="12.75" customHeight="1" x14ac:dyDescent="0.2">
      <c r="B5" s="2"/>
      <c r="C5" s="26"/>
      <c r="D5" s="2"/>
      <c r="E5" s="2"/>
      <c r="F5" s="2"/>
      <c r="G5" s="2"/>
      <c r="H5" s="2"/>
      <c r="I5" s="2"/>
      <c r="J5" s="2"/>
    </row>
    <row r="6" spans="1:16" ht="13.5" thickBot="1" x14ac:dyDescent="0.25">
      <c r="A6" s="251" t="s">
        <v>78</v>
      </c>
      <c r="B6" s="251"/>
      <c r="C6" s="50"/>
      <c r="D6" s="52"/>
      <c r="G6" s="43"/>
      <c r="H6" s="243" t="s">
        <v>77</v>
      </c>
      <c r="I6" s="2"/>
      <c r="J6" s="2"/>
    </row>
    <row r="7" spans="1:16" ht="14.25" thickTop="1" thickBot="1" x14ac:dyDescent="0.25">
      <c r="A7" s="62"/>
      <c r="B7" s="251" t="s">
        <v>74</v>
      </c>
      <c r="C7" s="50"/>
      <c r="D7" s="52"/>
      <c r="G7" s="98"/>
      <c r="H7" s="84" t="s">
        <v>61</v>
      </c>
      <c r="I7" s="97" t="s">
        <v>60</v>
      </c>
      <c r="J7" s="2"/>
      <c r="K7" s="1" t="s">
        <v>11</v>
      </c>
    </row>
    <row r="8" spans="1:16" ht="13.5" thickBot="1" x14ac:dyDescent="0.25">
      <c r="A8" s="62"/>
      <c r="B8" s="88">
        <v>432.1</v>
      </c>
      <c r="C8" s="96" t="s">
        <v>73</v>
      </c>
      <c r="D8" s="52"/>
      <c r="G8" s="80" t="s">
        <v>57</v>
      </c>
      <c r="H8" s="71">
        <f>984/B8</f>
        <v>2.2772506364267531</v>
      </c>
      <c r="I8" s="227">
        <f t="shared" ref="I8:I13" si="0">12*H8</f>
        <v>27.327007637121035</v>
      </c>
      <c r="J8" s="213" t="s">
        <v>11</v>
      </c>
      <c r="K8" s="238" t="s">
        <v>11</v>
      </c>
      <c r="L8" s="1" t="s">
        <v>11</v>
      </c>
    </row>
    <row r="9" spans="1:16" x14ac:dyDescent="0.2">
      <c r="A9" s="62"/>
      <c r="B9" s="95" t="s">
        <v>11</v>
      </c>
      <c r="C9" s="50"/>
      <c r="D9" s="52"/>
      <c r="G9" s="75" t="s">
        <v>54</v>
      </c>
      <c r="H9" s="71">
        <f>3*H12</f>
        <v>1.7079379773200647</v>
      </c>
      <c r="I9" s="227">
        <f t="shared" si="0"/>
        <v>20.495255727840778</v>
      </c>
      <c r="J9" s="43"/>
      <c r="K9" s="1" t="s">
        <v>11</v>
      </c>
    </row>
    <row r="10" spans="1:16" x14ac:dyDescent="0.2">
      <c r="A10" s="283" t="s">
        <v>71</v>
      </c>
      <c r="B10" s="283"/>
      <c r="C10" s="50"/>
      <c r="D10" s="52"/>
      <c r="G10" s="75" t="s">
        <v>52</v>
      </c>
      <c r="H10" s="71">
        <f>5*H13</f>
        <v>1.4232816477667207</v>
      </c>
      <c r="I10" s="227">
        <f t="shared" si="0"/>
        <v>17.07937977320065</v>
      </c>
      <c r="J10" s="43"/>
    </row>
    <row r="11" spans="1:16" x14ac:dyDescent="0.2">
      <c r="A11" s="62"/>
      <c r="B11" s="284" t="s">
        <v>70</v>
      </c>
      <c r="C11" s="50"/>
      <c r="D11" s="52"/>
      <c r="G11" s="149" t="s">
        <v>69</v>
      </c>
      <c r="H11" s="67">
        <f>H8/2</f>
        <v>1.1386253182133765</v>
      </c>
      <c r="I11" s="249">
        <f t="shared" si="0"/>
        <v>13.663503818560518</v>
      </c>
      <c r="J11" s="43"/>
      <c r="K11" s="26" t="s">
        <v>11</v>
      </c>
    </row>
    <row r="12" spans="1:16" ht="13.5" thickBot="1" x14ac:dyDescent="0.25">
      <c r="A12" s="62"/>
      <c r="B12" s="283" t="s">
        <v>68</v>
      </c>
      <c r="C12" s="50"/>
      <c r="D12" s="52"/>
      <c r="G12" s="75" t="s">
        <v>44</v>
      </c>
      <c r="H12" s="71">
        <f>H11/2</f>
        <v>0.56931265910668827</v>
      </c>
      <c r="I12" s="234">
        <f t="shared" si="0"/>
        <v>6.8317519092802588</v>
      </c>
      <c r="J12" s="43"/>
      <c r="K12" s="247" t="s">
        <v>185</v>
      </c>
      <c r="M12" s="196">
        <f>-0.01*M24+M24</f>
        <v>11.62065823548514</v>
      </c>
      <c r="N12" s="157" t="s">
        <v>184</v>
      </c>
      <c r="O12" s="157"/>
    </row>
    <row r="13" spans="1:16" ht="13.5" thickBot="1" x14ac:dyDescent="0.25">
      <c r="A13" s="62"/>
      <c r="B13" s="88">
        <v>0.93500000000000005</v>
      </c>
      <c r="C13" s="87" t="s">
        <v>62</v>
      </c>
      <c r="D13" s="52"/>
      <c r="G13" s="68" t="s">
        <v>65</v>
      </c>
      <c r="H13" s="67">
        <f>H12/2</f>
        <v>0.28465632955334413</v>
      </c>
      <c r="I13" s="228">
        <f t="shared" si="0"/>
        <v>3.4158759546401294</v>
      </c>
      <c r="J13" s="213" t="s">
        <v>181</v>
      </c>
      <c r="K13" s="90" t="s">
        <v>183</v>
      </c>
      <c r="L13" s="1" t="s">
        <v>205</v>
      </c>
      <c r="O13" s="246"/>
      <c r="P13" s="210">
        <f>O16</f>
        <v>13.663503818560518</v>
      </c>
    </row>
    <row r="14" spans="1:16" ht="13.5" thickBot="1" x14ac:dyDescent="0.25">
      <c r="A14" s="62"/>
      <c r="B14" s="245" t="s">
        <v>64</v>
      </c>
      <c r="C14" s="50"/>
      <c r="D14" s="244"/>
      <c r="E14" s="243" t="s">
        <v>63</v>
      </c>
      <c r="F14" s="168"/>
      <c r="G14" s="72">
        <v>0.25</v>
      </c>
      <c r="H14" s="71">
        <f>H12</f>
        <v>0.56931265910668827</v>
      </c>
      <c r="I14" s="234">
        <f>I12</f>
        <v>6.8317519092802588</v>
      </c>
      <c r="J14" s="7" t="s">
        <v>181</v>
      </c>
      <c r="K14" s="90" t="s">
        <v>180</v>
      </c>
      <c r="L14" s="242" t="s">
        <v>204</v>
      </c>
      <c r="M14" s="219"/>
      <c r="O14" s="237"/>
    </row>
    <row r="15" spans="1:16" ht="14.25" thickTop="1" thickBot="1" x14ac:dyDescent="0.25">
      <c r="A15" s="62"/>
      <c r="B15" s="88">
        <v>0.94699999999999995</v>
      </c>
      <c r="C15" s="87" t="s">
        <v>62</v>
      </c>
      <c r="D15" s="241" t="s">
        <v>11</v>
      </c>
      <c r="E15" s="240" t="s">
        <v>61</v>
      </c>
      <c r="F15" s="239" t="s">
        <v>60</v>
      </c>
      <c r="G15" s="72">
        <v>0.5</v>
      </c>
      <c r="H15" s="71">
        <f>H13</f>
        <v>0.28465632955334413</v>
      </c>
      <c r="I15" s="234">
        <f>I11</f>
        <v>13.663503818560518</v>
      </c>
      <c r="J15" s="213" t="s">
        <v>178</v>
      </c>
      <c r="K15" s="238">
        <f>SUM(O15:O43)/12</f>
        <v>4.8960888683175181</v>
      </c>
      <c r="L15" s="1" t="s">
        <v>177</v>
      </c>
      <c r="M15" s="219"/>
      <c r="O15" s="237"/>
      <c r="P15" s="15"/>
    </row>
    <row r="16" spans="1:16" x14ac:dyDescent="0.2">
      <c r="A16" s="62"/>
      <c r="B16" s="236" t="s">
        <v>58</v>
      </c>
      <c r="C16" s="199"/>
      <c r="D16" s="235" t="s">
        <v>57</v>
      </c>
      <c r="E16" s="67">
        <f>11808*B13/B8/12</f>
        <v>2.1292293450590143</v>
      </c>
      <c r="F16" s="228">
        <f>11808*B13/B8</f>
        <v>25.55075214070817</v>
      </c>
      <c r="G16" s="230" t="s">
        <v>176</v>
      </c>
      <c r="H16" s="71">
        <f>0.1*H8</f>
        <v>0.22772506364267531</v>
      </c>
      <c r="I16" s="227">
        <f t="shared" ref="I16:I21" si="1">12*H16</f>
        <v>2.7327007637121037</v>
      </c>
      <c r="J16" s="7" t="s">
        <v>175</v>
      </c>
      <c r="K16" s="90">
        <v>50</v>
      </c>
      <c r="L16" s="1" t="s">
        <v>174</v>
      </c>
      <c r="M16" s="219"/>
      <c r="N16" s="15"/>
      <c r="O16" s="201">
        <f>I15</f>
        <v>13.663503818560518</v>
      </c>
      <c r="P16" s="15"/>
    </row>
    <row r="17" spans="1:16" x14ac:dyDescent="0.2">
      <c r="A17" s="62"/>
      <c r="B17" s="226" t="s">
        <v>56</v>
      </c>
      <c r="C17" s="225" t="s">
        <v>55</v>
      </c>
      <c r="D17" s="68" t="s">
        <v>54</v>
      </c>
      <c r="E17" s="67">
        <f>E20+E19</f>
        <v>1.5969220087942606</v>
      </c>
      <c r="F17" s="228">
        <f>F20+F19</f>
        <v>19.163064105531127</v>
      </c>
      <c r="G17" s="230" t="s">
        <v>173</v>
      </c>
      <c r="H17" s="71">
        <f>0.15*H8</f>
        <v>0.34158759546401296</v>
      </c>
      <c r="I17" s="234">
        <f t="shared" si="1"/>
        <v>4.099051145568156</v>
      </c>
      <c r="J17" s="7" t="s">
        <v>172</v>
      </c>
      <c r="K17" s="90">
        <f>K15*12/P13*3.12</f>
        <v>13.416</v>
      </c>
      <c r="L17" s="1" t="s">
        <v>171</v>
      </c>
      <c r="M17" s="219"/>
      <c r="N17" s="15"/>
      <c r="O17" s="209" t="s">
        <v>5</v>
      </c>
      <c r="P17" s="15"/>
    </row>
    <row r="18" spans="1:16" ht="13.5" thickBot="1" x14ac:dyDescent="0.25">
      <c r="A18" s="62"/>
      <c r="B18" s="229" t="s">
        <v>53</v>
      </c>
      <c r="C18" s="225">
        <v>0.92</v>
      </c>
      <c r="D18" s="68" t="s">
        <v>52</v>
      </c>
      <c r="E18" s="67">
        <f>E20/2*5</f>
        <v>1.330768340661884</v>
      </c>
      <c r="F18" s="228">
        <f>F20/2*5</f>
        <v>15.969220087942606</v>
      </c>
      <c r="G18" s="230" t="s">
        <v>170</v>
      </c>
      <c r="H18" s="71">
        <f>0.2*H8</f>
        <v>0.45545012728535061</v>
      </c>
      <c r="I18" s="234">
        <f t="shared" si="1"/>
        <v>5.4654015274242074</v>
      </c>
      <c r="J18" s="7" t="s">
        <v>169</v>
      </c>
      <c r="K18" s="1" t="s">
        <v>168</v>
      </c>
      <c r="M18" s="196">
        <f>-0.018*M24+M24</f>
        <v>11.526753926511523</v>
      </c>
      <c r="N18" s="157" t="s">
        <v>167</v>
      </c>
      <c r="O18" s="103"/>
      <c r="P18" s="15"/>
    </row>
    <row r="19" spans="1:16" x14ac:dyDescent="0.2">
      <c r="A19" s="62"/>
      <c r="B19" s="233" t="s">
        <v>49</v>
      </c>
      <c r="C19" s="225">
        <v>0.93500000000000005</v>
      </c>
      <c r="D19" s="232" t="s">
        <v>69</v>
      </c>
      <c r="E19" s="73">
        <f>E16/2</f>
        <v>1.0646146725295071</v>
      </c>
      <c r="F19" s="231">
        <f>E16*12/2</f>
        <v>12.775376070354085</v>
      </c>
      <c r="G19" s="230" t="s">
        <v>166</v>
      </c>
      <c r="H19" s="71">
        <f>0.3*H8</f>
        <v>0.68317519092802592</v>
      </c>
      <c r="I19" s="227">
        <f t="shared" si="1"/>
        <v>8.1981022911363119</v>
      </c>
      <c r="J19" s="7" t="s">
        <v>165</v>
      </c>
      <c r="K19" s="90">
        <v>25</v>
      </c>
      <c r="L19" s="1" t="s">
        <v>164</v>
      </c>
      <c r="M19" s="219"/>
      <c r="N19" s="15"/>
      <c r="O19" s="201">
        <f>I14</f>
        <v>6.8317519092802588</v>
      </c>
      <c r="P19" s="210">
        <f>SUM(O19:O22)</f>
        <v>13.663503818560518</v>
      </c>
    </row>
    <row r="20" spans="1:16" x14ac:dyDescent="0.2">
      <c r="A20" s="62"/>
      <c r="B20" s="229" t="s">
        <v>47</v>
      </c>
      <c r="C20" s="225">
        <v>0.94499999999999995</v>
      </c>
      <c r="D20" s="68" t="s">
        <v>44</v>
      </c>
      <c r="E20" s="67">
        <f>E16/4</f>
        <v>0.53230733626475357</v>
      </c>
      <c r="F20" s="228">
        <f>F16/4</f>
        <v>6.3876880351770424</v>
      </c>
      <c r="G20" s="72">
        <v>0.39</v>
      </c>
      <c r="H20" s="71">
        <f>0.39*H8</f>
        <v>0.8881277482064337</v>
      </c>
      <c r="I20" s="227">
        <f t="shared" si="1"/>
        <v>10.657532978477205</v>
      </c>
      <c r="J20" s="7" t="s">
        <v>163</v>
      </c>
      <c r="K20" s="90">
        <v>10</v>
      </c>
      <c r="L20" s="1" t="s">
        <v>162</v>
      </c>
      <c r="M20" s="219"/>
      <c r="N20" s="15"/>
      <c r="O20" s="209" t="s">
        <v>5</v>
      </c>
      <c r="P20" s="15"/>
    </row>
    <row r="21" spans="1:16" ht="13.5" thickBot="1" x14ac:dyDescent="0.25">
      <c r="A21" s="62"/>
      <c r="B21" s="226" t="s">
        <v>45</v>
      </c>
      <c r="C21" s="225">
        <v>0.95</v>
      </c>
      <c r="D21" s="224" t="s">
        <v>161</v>
      </c>
      <c r="E21" s="223">
        <f>(11808*B15/B8/2)*4%</f>
        <v>0.5175735246470724</v>
      </c>
      <c r="F21" s="222">
        <f>F19-E21</f>
        <v>12.257802545707012</v>
      </c>
      <c r="G21" s="221" t="s">
        <v>160</v>
      </c>
      <c r="H21" s="55">
        <f>0.6*H8</f>
        <v>1.3663503818560518</v>
      </c>
      <c r="I21" s="220">
        <f t="shared" si="1"/>
        <v>16.396204582272624</v>
      </c>
      <c r="J21" s="2"/>
      <c r="K21" s="206" t="s">
        <v>11</v>
      </c>
      <c r="L21" s="1" t="s">
        <v>11</v>
      </c>
      <c r="M21" s="196">
        <f>M24</f>
        <v>11.738038621702161</v>
      </c>
      <c r="N21" s="157" t="s">
        <v>159</v>
      </c>
      <c r="O21" s="103"/>
      <c r="P21" s="15"/>
    </row>
    <row r="22" spans="1:16" ht="13.5" thickTop="1" x14ac:dyDescent="0.2">
      <c r="A22" s="51" t="s">
        <v>100</v>
      </c>
      <c r="B22" s="50"/>
      <c r="C22" s="50"/>
      <c r="D22" s="49"/>
      <c r="E22" s="48" t="s">
        <v>11</v>
      </c>
      <c r="F22" s="47"/>
      <c r="G22" s="2"/>
      <c r="H22" s="2"/>
      <c r="I22" s="2"/>
      <c r="J22" s="2"/>
      <c r="L22" s="1" t="s">
        <v>11</v>
      </c>
      <c r="M22" s="219"/>
      <c r="N22" s="15"/>
      <c r="O22" s="201">
        <f>I14</f>
        <v>6.8317519092802588</v>
      </c>
      <c r="P22" s="15"/>
    </row>
    <row r="23" spans="1:16" x14ac:dyDescent="0.2">
      <c r="B23" s="3" t="s">
        <v>11</v>
      </c>
      <c r="C23" s="3"/>
      <c r="F23" s="2"/>
      <c r="G23" s="2"/>
      <c r="H23" s="2"/>
      <c r="I23" s="2"/>
      <c r="J23" s="2"/>
      <c r="M23" s="219"/>
      <c r="N23" s="15"/>
      <c r="O23" s="209" t="s">
        <v>5</v>
      </c>
      <c r="P23" s="15"/>
    </row>
    <row r="24" spans="1:16" ht="13.5" thickBot="1" x14ac:dyDescent="0.25">
      <c r="B24" s="3" t="s">
        <v>203</v>
      </c>
      <c r="C24" s="3"/>
      <c r="F24" s="2"/>
      <c r="G24" s="2"/>
      <c r="H24" s="2"/>
      <c r="I24" s="2"/>
      <c r="J24" s="2"/>
      <c r="M24" s="196">
        <f>-0.018*J28+J28</f>
        <v>11.738038621702161</v>
      </c>
      <c r="N24" s="157" t="s">
        <v>156</v>
      </c>
      <c r="O24" s="103"/>
      <c r="P24" s="15"/>
    </row>
    <row r="25" spans="1:16" x14ac:dyDescent="0.2">
      <c r="B25" s="2"/>
      <c r="C25" s="2"/>
      <c r="D25" s="2"/>
      <c r="E25" s="2" t="s">
        <v>11</v>
      </c>
      <c r="F25" s="2"/>
      <c r="G25" s="2"/>
      <c r="H25" s="2"/>
      <c r="I25" s="2"/>
      <c r="J25" s="2" t="s">
        <v>11</v>
      </c>
      <c r="M25" s="206"/>
      <c r="N25" s="15"/>
      <c r="O25" s="201">
        <f>I14</f>
        <v>6.8317519092802588</v>
      </c>
      <c r="P25" s="210">
        <f>SUM(O25:O28)</f>
        <v>13.663503818560518</v>
      </c>
    </row>
    <row r="26" spans="1:16" x14ac:dyDescent="0.2">
      <c r="B26" s="2"/>
      <c r="C26" s="2"/>
      <c r="D26" s="218" t="s">
        <v>36</v>
      </c>
      <c r="E26" s="217" t="s">
        <v>35</v>
      </c>
      <c r="F26" s="180"/>
      <c r="G26" s="180"/>
      <c r="H26" s="282">
        <f>B8</f>
        <v>432.1</v>
      </c>
      <c r="I26" s="282" t="s">
        <v>155</v>
      </c>
      <c r="J26" s="2"/>
      <c r="L26" s="159"/>
      <c r="M26" s="206"/>
      <c r="N26" s="15"/>
      <c r="O26" s="209" t="s">
        <v>5</v>
      </c>
      <c r="P26" s="15"/>
    </row>
    <row r="27" spans="1:16" ht="13.5" thickBot="1" x14ac:dyDescent="0.25">
      <c r="B27" s="2"/>
      <c r="C27" s="2"/>
      <c r="D27" s="40"/>
      <c r="E27" s="17" t="s">
        <v>33</v>
      </c>
      <c r="F27" s="216">
        <f>H27/12</f>
        <v>1.4802129136773896</v>
      </c>
      <c r="G27" s="13" t="s">
        <v>32</v>
      </c>
      <c r="H27" s="40">
        <f>F30+G30+H30+I30</f>
        <v>17.762554964128675</v>
      </c>
      <c r="I27" s="197" t="s">
        <v>31</v>
      </c>
      <c r="J27" s="43"/>
      <c r="K27" s="33"/>
      <c r="L27" s="33"/>
      <c r="M27" s="196">
        <f>-0.016*J28+J28</f>
        <v>11.761945014007054</v>
      </c>
      <c r="N27" s="157" t="s">
        <v>154</v>
      </c>
      <c r="O27" s="103"/>
      <c r="P27" s="15"/>
    </row>
    <row r="28" spans="1:16" x14ac:dyDescent="0.2">
      <c r="B28" s="2"/>
      <c r="C28" s="2"/>
      <c r="D28" s="2"/>
      <c r="E28" s="167" t="s">
        <v>202</v>
      </c>
      <c r="F28" s="215">
        <f>0.05*F19+F19</f>
        <v>13.414144873871789</v>
      </c>
      <c r="G28" s="20">
        <f>F19</f>
        <v>12.775376070354085</v>
      </c>
      <c r="H28" s="196">
        <f>F21</f>
        <v>12.257802545707012</v>
      </c>
      <c r="I28" s="196">
        <f>-0.01*H28+H28</f>
        <v>12.135224520249942</v>
      </c>
      <c r="J28" s="196">
        <f>-0.015*I28+I28</f>
        <v>11.953196152446193</v>
      </c>
      <c r="K28" s="26"/>
      <c r="L28" s="214" t="s">
        <v>11</v>
      </c>
      <c r="M28" s="206"/>
      <c r="N28" s="15"/>
      <c r="O28" s="201">
        <f>I14</f>
        <v>6.8317519092802588</v>
      </c>
      <c r="P28" s="195" t="s">
        <v>11</v>
      </c>
    </row>
    <row r="29" spans="1:16" ht="13.5" thickBot="1" x14ac:dyDescent="0.25">
      <c r="B29" s="2"/>
      <c r="C29" s="2"/>
      <c r="D29" s="2"/>
      <c r="E29" s="2"/>
      <c r="F29" s="30" t="s">
        <v>28</v>
      </c>
      <c r="G29" s="30" t="s">
        <v>27</v>
      </c>
      <c r="H29" s="29" t="s">
        <v>26</v>
      </c>
      <c r="I29" s="29" t="s">
        <v>25</v>
      </c>
      <c r="J29" s="121" t="s">
        <v>96</v>
      </c>
      <c r="K29" s="213" t="s">
        <v>11</v>
      </c>
      <c r="M29" s="206"/>
      <c r="N29" s="15"/>
      <c r="O29" s="209" t="s">
        <v>5</v>
      </c>
      <c r="P29" s="15"/>
    </row>
    <row r="30" spans="1:16" ht="14.25" thickTop="1" thickBot="1" x14ac:dyDescent="0.25">
      <c r="B30" s="2"/>
      <c r="C30" s="2"/>
      <c r="D30" s="2"/>
      <c r="E30" s="164" t="s">
        <v>24</v>
      </c>
      <c r="F30" s="212">
        <f>I17</f>
        <v>4.099051145568156</v>
      </c>
      <c r="G30" s="212">
        <f>I17</f>
        <v>4.099051145568156</v>
      </c>
      <c r="H30" s="212">
        <f>I17</f>
        <v>4.099051145568156</v>
      </c>
      <c r="I30" s="211">
        <f>I18</f>
        <v>5.4654015274242074</v>
      </c>
      <c r="J30" s="40" t="s">
        <v>11</v>
      </c>
      <c r="M30" s="20">
        <f>J28</f>
        <v>11.953196152446193</v>
      </c>
      <c r="N30" s="157" t="s">
        <v>153</v>
      </c>
      <c r="O30" s="103"/>
      <c r="P30" s="15"/>
    </row>
    <row r="31" spans="1:16" x14ac:dyDescent="0.2">
      <c r="B31" s="102" t="s">
        <v>152</v>
      </c>
      <c r="C31" s="2"/>
      <c r="D31" s="2"/>
      <c r="E31" s="2"/>
      <c r="F31" s="48" t="s">
        <v>151</v>
      </c>
      <c r="G31" s="2"/>
      <c r="H31" s="2"/>
      <c r="I31" s="2"/>
      <c r="J31" s="2"/>
      <c r="L31" s="48" t="s">
        <v>150</v>
      </c>
      <c r="M31" s="206"/>
      <c r="N31" s="15"/>
      <c r="O31" s="201">
        <f>I18</f>
        <v>5.4654015274242074</v>
      </c>
      <c r="P31" s="210">
        <f>SUM(O31:O37)</f>
        <v>13.663503818560519</v>
      </c>
    </row>
    <row r="32" spans="1:16" x14ac:dyDescent="0.2">
      <c r="B32" s="48" t="s">
        <v>201</v>
      </c>
      <c r="C32" s="3"/>
      <c r="N32" s="15"/>
      <c r="O32" s="209" t="s">
        <v>5</v>
      </c>
      <c r="P32" s="15"/>
    </row>
    <row r="33" spans="2:16" x14ac:dyDescent="0.2">
      <c r="B33" s="48" t="s">
        <v>148</v>
      </c>
      <c r="C33" s="3"/>
      <c r="M33" s="206"/>
      <c r="N33" s="15"/>
      <c r="O33" s="209"/>
      <c r="P33" s="15"/>
    </row>
    <row r="34" spans="2:16" ht="13.5" thickBot="1" x14ac:dyDescent="0.25">
      <c r="B34" s="48" t="s">
        <v>147</v>
      </c>
      <c r="C34" s="3"/>
      <c r="D34" s="19"/>
      <c r="E34" s="2"/>
      <c r="F34" s="2"/>
      <c r="G34" s="2"/>
      <c r="H34" s="2"/>
      <c r="I34" s="2"/>
      <c r="J34" s="2"/>
      <c r="M34" s="20">
        <f>I28</f>
        <v>12.135224520249942</v>
      </c>
      <c r="N34" s="157" t="s">
        <v>146</v>
      </c>
      <c r="O34" s="103"/>
      <c r="P34" s="15"/>
    </row>
    <row r="35" spans="2:16" x14ac:dyDescent="0.2">
      <c r="B35" s="208" t="s">
        <v>145</v>
      </c>
      <c r="C35" s="3"/>
      <c r="D35" s="19"/>
      <c r="E35" s="2"/>
      <c r="F35" s="2"/>
      <c r="G35" s="2"/>
      <c r="H35" s="2"/>
      <c r="I35" s="2"/>
      <c r="J35" s="2"/>
      <c r="K35" s="2"/>
      <c r="L35" s="2"/>
      <c r="M35" s="20" t="s">
        <v>11</v>
      </c>
      <c r="N35" s="207"/>
      <c r="O35" s="201">
        <f>I17</f>
        <v>4.099051145568156</v>
      </c>
      <c r="P35" s="15"/>
    </row>
    <row r="36" spans="2:16" ht="13.5" thickBot="1" x14ac:dyDescent="0.25">
      <c r="B36" s="48" t="s">
        <v>144</v>
      </c>
      <c r="C36" s="2"/>
      <c r="D36" s="2"/>
      <c r="E36" s="2"/>
      <c r="F36" s="2"/>
      <c r="G36" s="2"/>
      <c r="H36" s="2"/>
      <c r="I36" s="2"/>
      <c r="J36" s="2"/>
      <c r="M36" s="20">
        <f>H28</f>
        <v>12.257802545707012</v>
      </c>
      <c r="N36" s="157" t="s">
        <v>143</v>
      </c>
      <c r="O36" s="103" t="s">
        <v>5</v>
      </c>
      <c r="P36" s="205" t="s">
        <v>142</v>
      </c>
    </row>
    <row r="37" spans="2:16" x14ac:dyDescent="0.2">
      <c r="B37" s="48"/>
      <c r="C37" s="2"/>
      <c r="D37" s="2"/>
      <c r="E37" s="2"/>
      <c r="F37" s="2"/>
      <c r="G37" s="2"/>
      <c r="H37" s="2"/>
      <c r="I37" s="2"/>
      <c r="J37" s="2"/>
      <c r="M37" s="206"/>
      <c r="N37" s="15"/>
      <c r="O37" s="201">
        <f>I17</f>
        <v>4.099051145568156</v>
      </c>
      <c r="P37" s="205"/>
    </row>
    <row r="38" spans="2:16" ht="13.5" thickBot="1" x14ac:dyDescent="0.25">
      <c r="B38" s="2"/>
      <c r="C38" s="2"/>
      <c r="D38" s="22" t="s">
        <v>141</v>
      </c>
      <c r="E38" s="2"/>
      <c r="F38" s="2"/>
      <c r="G38" s="2"/>
      <c r="H38" s="2"/>
      <c r="I38" s="2"/>
      <c r="J38" s="2"/>
      <c r="M38" s="20">
        <f>F19</f>
        <v>12.775376070354085</v>
      </c>
      <c r="N38" s="204" t="s">
        <v>140</v>
      </c>
      <c r="O38" s="203" t="s">
        <v>5</v>
      </c>
      <c r="P38" s="202" t="s">
        <v>139</v>
      </c>
    </row>
    <row r="39" spans="2:16" ht="14.25" thickTop="1" thickBot="1" x14ac:dyDescent="0.25">
      <c r="B39" s="2"/>
      <c r="C39" s="2"/>
      <c r="D39" s="2"/>
      <c r="E39" s="2"/>
      <c r="F39" s="2"/>
      <c r="G39" s="2"/>
      <c r="H39" s="20">
        <f>G28</f>
        <v>12.775376070354085</v>
      </c>
      <c r="I39" s="2" t="s">
        <v>138</v>
      </c>
      <c r="J39" s="2"/>
      <c r="M39" s="196"/>
      <c r="N39" s="15"/>
      <c r="O39" s="201">
        <f>I17</f>
        <v>4.099051145568156</v>
      </c>
      <c r="P39" s="200"/>
    </row>
    <row r="40" spans="2:16" ht="14.25" thickTop="1" thickBot="1" x14ac:dyDescent="0.25">
      <c r="B40" s="50"/>
      <c r="C40" s="198" t="s">
        <v>137</v>
      </c>
      <c r="D40" s="13" t="s">
        <v>13</v>
      </c>
      <c r="E40" s="18" t="s">
        <v>12</v>
      </c>
      <c r="F40" s="18"/>
      <c r="G40" s="18"/>
      <c r="H40" s="18" t="s">
        <v>11</v>
      </c>
      <c r="I40" s="18"/>
      <c r="J40" s="2"/>
      <c r="M40" s="196">
        <f>F28</f>
        <v>13.414144873871789</v>
      </c>
      <c r="N40" s="10" t="s">
        <v>6</v>
      </c>
      <c r="O40" s="103" t="s">
        <v>5</v>
      </c>
      <c r="P40" s="15"/>
    </row>
    <row r="41" spans="2:16" x14ac:dyDescent="0.2">
      <c r="B41" s="2"/>
      <c r="C41" s="2"/>
      <c r="D41" s="7"/>
      <c r="E41" s="7" t="s">
        <v>136</v>
      </c>
      <c r="F41" s="197">
        <f>0.019*F16</f>
        <v>0.4854642906734552</v>
      </c>
      <c r="G41" s="2"/>
      <c r="H41" s="7" t="s">
        <v>8</v>
      </c>
      <c r="I41" s="2" t="s">
        <v>135</v>
      </c>
      <c r="J41" s="2"/>
      <c r="M41" s="196"/>
      <c r="P41" s="15"/>
    </row>
    <row r="42" spans="2:16" x14ac:dyDescent="0.2">
      <c r="B42" s="2"/>
      <c r="E42" s="7" t="s">
        <v>134</v>
      </c>
      <c r="F42" s="197">
        <f>0.06*F16</f>
        <v>1.5330451284424902</v>
      </c>
      <c r="G42" s="2"/>
      <c r="H42" s="2" t="s">
        <v>133</v>
      </c>
      <c r="I42" s="2"/>
      <c r="J42" s="2"/>
      <c r="M42" s="196" t="s">
        <v>11</v>
      </c>
      <c r="P42" s="195"/>
    </row>
    <row r="43" spans="2:16" x14ac:dyDescent="0.2">
      <c r="B43" s="2"/>
      <c r="C43" s="7" t="s">
        <v>4</v>
      </c>
      <c r="D43" s="2" t="s">
        <v>132</v>
      </c>
      <c r="E43" s="2"/>
      <c r="F43" s="5" t="s">
        <v>188</v>
      </c>
    </row>
    <row r="44" spans="2:16" x14ac:dyDescent="0.2">
      <c r="B44" s="4" t="s">
        <v>11</v>
      </c>
      <c r="C44" s="3" t="s">
        <v>11</v>
      </c>
      <c r="D44" s="3"/>
      <c r="E44" s="7" t="s">
        <v>200</v>
      </c>
      <c r="F44" s="2" t="s">
        <v>129</v>
      </c>
      <c r="G44" s="2"/>
      <c r="H44" s="2"/>
      <c r="I44" s="2"/>
      <c r="J44" s="2"/>
    </row>
    <row r="45" spans="2:16" x14ac:dyDescent="0.2">
      <c r="B45" s="194" t="s">
        <v>128</v>
      </c>
      <c r="C45" s="3" t="s">
        <v>127</v>
      </c>
      <c r="D45" s="3"/>
      <c r="N45" s="1" t="s">
        <v>11</v>
      </c>
    </row>
  </sheetData>
  <pageMargins left="0.5" right="0.25" top="0.5" bottom="0.5" header="0.5" footer="0.5"/>
  <pageSetup scale="90" orientation="landscape" horizontalDpi="360" verticalDpi="360" r:id="rId1"/>
  <headerFooter alignWithMargins="0">
    <oddHeader>&amp;R&amp;D&amp;F</oddHeader>
  </headerFooter>
  <drawing r:id="rId2"/>
  <legacyDrawing r:id="rId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50"/>
  <sheetViews>
    <sheetView workbookViewId="0">
      <selection activeCell="O4" sqref="O4"/>
    </sheetView>
  </sheetViews>
  <sheetFormatPr defaultRowHeight="12.75" x14ac:dyDescent="0.2"/>
  <cols>
    <col min="1" max="1" width="2.7109375" style="1" customWidth="1"/>
    <col min="2" max="3" width="9.140625" style="1"/>
    <col min="4" max="4" width="1.7109375" style="1" customWidth="1"/>
    <col min="5" max="5" width="10.140625" style="1" bestFit="1" customWidth="1"/>
    <col min="6" max="7" width="9.140625" style="1"/>
    <col min="8" max="8" width="10.140625" style="1" bestFit="1" customWidth="1"/>
    <col min="9" max="11" width="9.140625" style="1"/>
    <col min="12" max="12" width="9.85546875" style="1" bestFit="1" customWidth="1"/>
    <col min="13" max="16384" width="9.140625" style="1"/>
  </cols>
  <sheetData>
    <row r="1" spans="1:12" x14ac:dyDescent="0.2">
      <c r="B1" s="2"/>
      <c r="C1" s="2"/>
      <c r="D1" s="2"/>
      <c r="E1" s="2"/>
      <c r="F1" s="2"/>
      <c r="G1" s="2"/>
      <c r="H1" s="2"/>
      <c r="I1" s="2"/>
      <c r="J1" s="2"/>
      <c r="K1" s="2"/>
    </row>
    <row r="2" spans="1:12" ht="30" x14ac:dyDescent="0.4">
      <c r="B2" s="2"/>
      <c r="C2" s="2"/>
      <c r="D2" s="2"/>
      <c r="E2" s="2"/>
      <c r="F2" s="106" t="s">
        <v>318</v>
      </c>
      <c r="G2" s="2"/>
      <c r="H2" s="2"/>
      <c r="I2" s="2"/>
      <c r="J2" s="2"/>
      <c r="K2" s="2"/>
    </row>
    <row r="3" spans="1:12" x14ac:dyDescent="0.2">
      <c r="B3" s="2"/>
      <c r="C3" s="2" t="s">
        <v>11</v>
      </c>
      <c r="D3" s="2"/>
      <c r="E3" s="2"/>
      <c r="F3" s="26"/>
      <c r="G3" s="2"/>
      <c r="H3" s="2"/>
      <c r="I3" s="19" t="s">
        <v>11</v>
      </c>
      <c r="J3" s="2"/>
      <c r="K3" s="2"/>
    </row>
    <row r="4" spans="1:12" x14ac:dyDescent="0.2">
      <c r="B4" s="2" t="s">
        <v>11</v>
      </c>
      <c r="C4" s="2" t="s">
        <v>11</v>
      </c>
      <c r="D4" s="2"/>
      <c r="E4" s="102" t="s">
        <v>262</v>
      </c>
      <c r="F4" s="2"/>
      <c r="G4" s="2"/>
      <c r="H4" s="2"/>
      <c r="I4" s="2"/>
      <c r="J4" s="2"/>
      <c r="K4" s="13" t="s">
        <v>11</v>
      </c>
    </row>
    <row r="5" spans="1:12" x14ac:dyDescent="0.2">
      <c r="B5" s="2"/>
      <c r="C5" s="2"/>
      <c r="D5" s="2"/>
      <c r="E5" s="102"/>
      <c r="F5" s="2"/>
      <c r="G5" s="2"/>
      <c r="H5" s="2"/>
      <c r="I5" s="2"/>
      <c r="J5" s="2"/>
      <c r="K5" s="90" t="s">
        <v>261</v>
      </c>
    </row>
    <row r="6" spans="1:12" x14ac:dyDescent="0.2">
      <c r="B6" s="100" t="s">
        <v>11</v>
      </c>
      <c r="C6" s="2"/>
      <c r="D6" s="81"/>
      <c r="H6" s="2"/>
      <c r="I6" s="90" t="s">
        <v>260</v>
      </c>
      <c r="J6" s="2"/>
      <c r="K6" s="90" t="s">
        <v>121</v>
      </c>
      <c r="L6" s="26" t="s">
        <v>259</v>
      </c>
    </row>
    <row r="7" spans="1:12" ht="13.5" thickBot="1" x14ac:dyDescent="0.25">
      <c r="A7" s="62"/>
      <c r="B7" s="151" t="s">
        <v>11</v>
      </c>
      <c r="C7" s="50"/>
      <c r="D7" s="81"/>
      <c r="H7" s="43"/>
      <c r="I7" s="90" t="s">
        <v>77</v>
      </c>
      <c r="J7" s="2"/>
      <c r="K7" s="90" t="s">
        <v>257</v>
      </c>
      <c r="L7" s="26" t="s">
        <v>217</v>
      </c>
    </row>
    <row r="8" spans="1:12" ht="13.5" thickBot="1" x14ac:dyDescent="0.25">
      <c r="A8" s="62"/>
      <c r="B8" s="354" t="s">
        <v>267</v>
      </c>
      <c r="C8" s="50"/>
      <c r="D8" s="81"/>
      <c r="H8" s="353"/>
      <c r="I8" s="352" t="s">
        <v>61</v>
      </c>
      <c r="J8" s="352" t="s">
        <v>60</v>
      </c>
      <c r="K8" s="351" t="s">
        <v>256</v>
      </c>
      <c r="L8" s="350">
        <v>0.9</v>
      </c>
    </row>
    <row r="9" spans="1:12" ht="13.5" thickBot="1" x14ac:dyDescent="0.25">
      <c r="A9" s="62"/>
      <c r="B9" s="289">
        <v>28.3</v>
      </c>
      <c r="C9" s="96" t="s">
        <v>73</v>
      </c>
      <c r="D9" s="349"/>
      <c r="H9" s="348" t="s">
        <v>57</v>
      </c>
      <c r="I9" s="71">
        <f>984/B9</f>
        <v>34.770318021201412</v>
      </c>
      <c r="J9" s="327">
        <f t="shared" ref="J9:J14" si="0">12*I9</f>
        <v>417.24381625441697</v>
      </c>
      <c r="K9" s="346" t="s">
        <v>255</v>
      </c>
      <c r="L9" s="329">
        <v>0.91</v>
      </c>
    </row>
    <row r="10" spans="1:12" ht="13.5" thickBot="1" x14ac:dyDescent="0.25">
      <c r="A10" s="62"/>
      <c r="B10" s="151"/>
      <c r="C10" s="347" t="s">
        <v>254</v>
      </c>
      <c r="D10" s="81"/>
      <c r="H10" s="341" t="s">
        <v>54</v>
      </c>
      <c r="I10" s="71">
        <f>3*I13</f>
        <v>26.077738515901061</v>
      </c>
      <c r="J10" s="327">
        <f t="shared" si="0"/>
        <v>312.93286219081273</v>
      </c>
      <c r="K10" s="346" t="s">
        <v>253</v>
      </c>
      <c r="L10" s="329">
        <v>0.91500000000000004</v>
      </c>
    </row>
    <row r="11" spans="1:12" ht="13.5" thickBot="1" x14ac:dyDescent="0.25">
      <c r="A11" s="62"/>
      <c r="B11" s="345">
        <v>0.75</v>
      </c>
      <c r="C11" s="288" t="s">
        <v>266</v>
      </c>
      <c r="D11" s="81"/>
      <c r="H11" s="341" t="s">
        <v>52</v>
      </c>
      <c r="I11" s="71">
        <f>5*I14</f>
        <v>21.731448763250881</v>
      </c>
      <c r="J11" s="327">
        <f t="shared" si="0"/>
        <v>260.77738515901058</v>
      </c>
      <c r="K11" s="330" t="s">
        <v>252</v>
      </c>
      <c r="L11" s="329">
        <v>0.92</v>
      </c>
    </row>
    <row r="12" spans="1:12" ht="13.5" thickBot="1" x14ac:dyDescent="0.25">
      <c r="A12" s="62"/>
      <c r="B12" s="345">
        <v>0.75</v>
      </c>
      <c r="C12" s="288" t="s">
        <v>251</v>
      </c>
      <c r="D12" s="81"/>
      <c r="H12" s="344" t="s">
        <v>69</v>
      </c>
      <c r="I12" s="67">
        <f>I9/2</f>
        <v>17.385159010600706</v>
      </c>
      <c r="J12" s="343">
        <f t="shared" si="0"/>
        <v>208.62190812720848</v>
      </c>
      <c r="K12" s="330" t="s">
        <v>250</v>
      </c>
      <c r="L12" s="329">
        <v>0.92500000000000004</v>
      </c>
    </row>
    <row r="13" spans="1:12" x14ac:dyDescent="0.2">
      <c r="A13" s="62"/>
      <c r="B13" s="342" t="s">
        <v>249</v>
      </c>
      <c r="C13" s="316">
        <v>1.25</v>
      </c>
      <c r="D13" s="81"/>
      <c r="H13" s="341" t="s">
        <v>44</v>
      </c>
      <c r="I13" s="71">
        <f>I12/2</f>
        <v>8.6925795053003529</v>
      </c>
      <c r="J13" s="327">
        <f t="shared" si="0"/>
        <v>104.31095406360424</v>
      </c>
      <c r="K13" s="330" t="s">
        <v>248</v>
      </c>
      <c r="L13" s="329">
        <v>0.93</v>
      </c>
    </row>
    <row r="14" spans="1:12" x14ac:dyDescent="0.2">
      <c r="A14" s="62"/>
      <c r="B14" s="340" t="s">
        <v>247</v>
      </c>
      <c r="C14" s="316">
        <v>1</v>
      </c>
      <c r="D14" s="81"/>
      <c r="H14" s="339" t="s">
        <v>65</v>
      </c>
      <c r="I14" s="128">
        <f>I13/2</f>
        <v>4.3462897526501765</v>
      </c>
      <c r="J14" s="338">
        <f t="shared" si="0"/>
        <v>52.155477031802121</v>
      </c>
      <c r="K14" s="330" t="s">
        <v>246</v>
      </c>
      <c r="L14" s="329">
        <v>0.93500000000000005</v>
      </c>
    </row>
    <row r="15" spans="1:12" ht="13.5" thickBot="1" x14ac:dyDescent="0.25">
      <c r="A15" s="62"/>
      <c r="B15" s="337" t="s">
        <v>245</v>
      </c>
      <c r="C15" s="316">
        <v>0.75</v>
      </c>
      <c r="D15" s="81"/>
      <c r="E15" s="26"/>
      <c r="F15" s="90" t="s">
        <v>244</v>
      </c>
      <c r="G15" s="89"/>
      <c r="H15" s="336"/>
      <c r="I15" s="335" t="s">
        <v>243</v>
      </c>
      <c r="J15" s="334"/>
      <c r="K15" s="330" t="s">
        <v>242</v>
      </c>
      <c r="L15" s="329">
        <v>0.94699999999999995</v>
      </c>
    </row>
    <row r="16" spans="1:12" x14ac:dyDescent="0.2">
      <c r="A16" s="62"/>
      <c r="B16" s="317" t="s">
        <v>241</v>
      </c>
      <c r="C16" s="316">
        <f>5*C20</f>
        <v>0.625</v>
      </c>
      <c r="D16" s="81"/>
      <c r="E16" s="333" t="s">
        <v>11</v>
      </c>
      <c r="F16" s="332" t="s">
        <v>61</v>
      </c>
      <c r="G16" s="331" t="s">
        <v>60</v>
      </c>
      <c r="H16" s="309" t="s">
        <v>11</v>
      </c>
      <c r="I16" s="71" t="s">
        <v>240</v>
      </c>
      <c r="J16" s="327" t="s">
        <v>239</v>
      </c>
      <c r="K16" s="330" t="s">
        <v>238</v>
      </c>
      <c r="L16" s="329">
        <v>0.96</v>
      </c>
    </row>
    <row r="17" spans="1:12" ht="13.5" thickBot="1" x14ac:dyDescent="0.25">
      <c r="A17" s="62"/>
      <c r="B17" s="317" t="s">
        <v>237</v>
      </c>
      <c r="C17" s="316">
        <v>0.5</v>
      </c>
      <c r="D17" s="81"/>
      <c r="E17" s="328" t="s">
        <v>57</v>
      </c>
      <c r="F17" s="322">
        <f>11810*B28/B9/12</f>
        <v>33.037396937573611</v>
      </c>
      <c r="G17" s="321">
        <f>F17*12</f>
        <v>396.4487632508833</v>
      </c>
      <c r="H17" s="309" t="s">
        <v>176</v>
      </c>
      <c r="I17" s="71">
        <f>0.1*I9</f>
        <v>3.4770318021201412</v>
      </c>
      <c r="J17" s="327">
        <f t="shared" ref="J17:J22" si="1">12*I17</f>
        <v>41.724381625441694</v>
      </c>
      <c r="K17" s="326" t="s">
        <v>236</v>
      </c>
      <c r="L17" s="325">
        <v>0.97</v>
      </c>
    </row>
    <row r="18" spans="1:12" x14ac:dyDescent="0.2">
      <c r="A18" s="62"/>
      <c r="B18" s="317" t="s">
        <v>235</v>
      </c>
      <c r="C18" s="316">
        <f>3*C20</f>
        <v>0.375</v>
      </c>
      <c r="D18" s="78"/>
      <c r="E18" s="323" t="s">
        <v>54</v>
      </c>
      <c r="F18" s="322">
        <f>F21+F20</f>
        <v>24.778047703180206</v>
      </c>
      <c r="G18" s="321">
        <f>G21+G20</f>
        <v>297.33657243816248</v>
      </c>
      <c r="H18" s="320" t="s">
        <v>173</v>
      </c>
      <c r="I18" s="319">
        <f>0.15*I9</f>
        <v>5.2155477031802118</v>
      </c>
      <c r="J18" s="318">
        <f t="shared" si="1"/>
        <v>62.586572438162541</v>
      </c>
      <c r="K18" s="2"/>
    </row>
    <row r="19" spans="1:12" x14ac:dyDescent="0.2">
      <c r="A19" s="62"/>
      <c r="B19" s="324" t="s">
        <v>234</v>
      </c>
      <c r="C19" s="316">
        <v>0.25</v>
      </c>
      <c r="D19" s="59"/>
      <c r="E19" s="323" t="s">
        <v>52</v>
      </c>
      <c r="F19" s="322">
        <f>F21/2*5</f>
        <v>20.648373085983508</v>
      </c>
      <c r="G19" s="321">
        <f>G21/2*5</f>
        <v>247.78047703180206</v>
      </c>
      <c r="H19" s="320" t="s">
        <v>170</v>
      </c>
      <c r="I19" s="319">
        <f>0.2*I9</f>
        <v>6.9540636042402824</v>
      </c>
      <c r="J19" s="318">
        <f t="shared" si="1"/>
        <v>83.448763250883388</v>
      </c>
      <c r="K19" s="2"/>
      <c r="L19" s="158" t="s">
        <v>11</v>
      </c>
    </row>
    <row r="20" spans="1:12" x14ac:dyDescent="0.2">
      <c r="A20" s="62"/>
      <c r="B20" s="317" t="s">
        <v>233</v>
      </c>
      <c r="C20" s="316">
        <v>0.125</v>
      </c>
      <c r="D20" s="59"/>
      <c r="E20" s="315" t="s">
        <v>68</v>
      </c>
      <c r="F20" s="314">
        <f>F17/2</f>
        <v>16.518698468786805</v>
      </c>
      <c r="G20" s="313">
        <f>G17/2</f>
        <v>198.22438162544165</v>
      </c>
      <c r="H20" s="309" t="s">
        <v>166</v>
      </c>
      <c r="I20" s="71">
        <f>0.3*I9</f>
        <v>10.431095406360424</v>
      </c>
      <c r="J20" s="308">
        <f t="shared" si="1"/>
        <v>125.17314487632508</v>
      </c>
      <c r="K20" s="2"/>
      <c r="L20" s="1" t="s">
        <v>11</v>
      </c>
    </row>
    <row r="21" spans="1:12" ht="13.5" thickBot="1" x14ac:dyDescent="0.25">
      <c r="A21" s="62"/>
      <c r="B21" s="299" t="s">
        <v>11</v>
      </c>
      <c r="C21" s="299"/>
      <c r="D21" s="59"/>
      <c r="E21" s="312" t="s">
        <v>44</v>
      </c>
      <c r="F21" s="311">
        <f>F17/4</f>
        <v>8.2593492343934027</v>
      </c>
      <c r="G21" s="310">
        <f>G17/4</f>
        <v>99.112190812720826</v>
      </c>
      <c r="H21" s="309" t="s">
        <v>189</v>
      </c>
      <c r="I21" s="71">
        <f>0.4*I9</f>
        <v>13.908127208480565</v>
      </c>
      <c r="J21" s="308">
        <f t="shared" si="1"/>
        <v>166.89752650176678</v>
      </c>
      <c r="K21" s="2"/>
    </row>
    <row r="22" spans="1:12" ht="13.5" thickBot="1" x14ac:dyDescent="0.25">
      <c r="A22" s="62"/>
      <c r="B22" s="358" t="s">
        <v>227</v>
      </c>
      <c r="C22" s="298" t="s">
        <v>11</v>
      </c>
      <c r="D22" s="81"/>
      <c r="E22" s="306" t="s">
        <v>232</v>
      </c>
      <c r="F22" s="305">
        <f>11810*B35/B9/12/2</f>
        <v>16.518698468786805</v>
      </c>
      <c r="G22" s="304">
        <f>F22*12</f>
        <v>198.22438162544165</v>
      </c>
      <c r="H22" s="303">
        <v>0.5</v>
      </c>
      <c r="I22" s="10">
        <f>0.5*I9</f>
        <v>17.385159010600706</v>
      </c>
      <c r="J22" s="302">
        <f t="shared" si="1"/>
        <v>208.62190812720848</v>
      </c>
      <c r="K22" s="2"/>
    </row>
    <row r="23" spans="1:12" x14ac:dyDescent="0.2">
      <c r="A23" s="62"/>
      <c r="B23" s="299" t="s">
        <v>231</v>
      </c>
      <c r="C23" s="298"/>
      <c r="D23" s="2"/>
      <c r="E23" s="26" t="s">
        <v>41</v>
      </c>
      <c r="F23" s="2"/>
      <c r="G23" s="47"/>
      <c r="H23" s="2"/>
      <c r="I23" s="2"/>
      <c r="J23" s="2"/>
      <c r="K23" s="2"/>
    </row>
    <row r="24" spans="1:12" x14ac:dyDescent="0.2">
      <c r="A24" s="62"/>
      <c r="B24" s="294" t="s">
        <v>230</v>
      </c>
      <c r="C24" s="294"/>
      <c r="D24" s="2"/>
      <c r="E24" s="26"/>
      <c r="F24" s="26" t="s">
        <v>229</v>
      </c>
      <c r="G24" s="2"/>
      <c r="H24" s="2"/>
      <c r="I24" s="2"/>
      <c r="J24" s="2"/>
      <c r="K24" s="2"/>
    </row>
    <row r="25" spans="1:12" x14ac:dyDescent="0.2">
      <c r="A25" s="62"/>
      <c r="B25" s="297" t="s">
        <v>221</v>
      </c>
      <c r="C25" s="296">
        <f>F20*12/B11</f>
        <v>264.29917550058889</v>
      </c>
      <c r="D25" s="2"/>
      <c r="E25" s="26" t="s">
        <v>265</v>
      </c>
      <c r="F25" s="26"/>
      <c r="G25" s="2"/>
      <c r="H25" s="2"/>
      <c r="I25" s="2"/>
      <c r="J25" s="2"/>
      <c r="K25" s="2"/>
    </row>
    <row r="26" spans="1:12" x14ac:dyDescent="0.2">
      <c r="A26" s="62"/>
      <c r="B26" s="294" t="s">
        <v>219</v>
      </c>
      <c r="C26" s="294"/>
      <c r="D26" s="2"/>
      <c r="E26" s="2"/>
      <c r="F26" s="2" t="s">
        <v>11</v>
      </c>
      <c r="G26" s="2"/>
      <c r="H26" s="2"/>
      <c r="I26" s="2"/>
      <c r="J26" s="2"/>
      <c r="K26" s="2"/>
    </row>
    <row r="27" spans="1:12" ht="13.5" thickBot="1" x14ac:dyDescent="0.25">
      <c r="A27" s="62"/>
      <c r="B27" s="294" t="s">
        <v>218</v>
      </c>
      <c r="C27" s="293"/>
      <c r="D27" s="2"/>
      <c r="E27" s="2" t="s">
        <v>11</v>
      </c>
      <c r="F27" s="19"/>
      <c r="G27" s="2" t="s">
        <v>11</v>
      </c>
      <c r="H27" s="2" t="s">
        <v>11</v>
      </c>
      <c r="I27" s="2" t="s">
        <v>11</v>
      </c>
      <c r="J27" s="2"/>
      <c r="K27" s="2"/>
    </row>
    <row r="28" spans="1:12" ht="13.5" thickBot="1" x14ac:dyDescent="0.25">
      <c r="A28" s="62"/>
      <c r="B28" s="289">
        <v>0.95</v>
      </c>
      <c r="C28" s="288" t="s">
        <v>217</v>
      </c>
      <c r="D28" s="2"/>
      <c r="E28" s="2"/>
      <c r="F28" s="2"/>
      <c r="G28" s="301"/>
      <c r="H28" s="2"/>
      <c r="I28" s="2"/>
      <c r="J28" s="2"/>
      <c r="K28" s="2"/>
    </row>
    <row r="29" spans="1:12" x14ac:dyDescent="0.2">
      <c r="A29" s="62"/>
      <c r="B29" s="358" t="s">
        <v>227</v>
      </c>
      <c r="C29" s="50"/>
      <c r="D29" s="2"/>
      <c r="E29" s="26" t="s">
        <v>11</v>
      </c>
      <c r="F29" s="26" t="s">
        <v>226</v>
      </c>
      <c r="G29" s="2"/>
      <c r="H29" s="2"/>
      <c r="I29" s="244">
        <f>B9</f>
        <v>28.3</v>
      </c>
      <c r="J29" s="2" t="s">
        <v>34</v>
      </c>
      <c r="K29" s="2"/>
    </row>
    <row r="30" spans="1:12" x14ac:dyDescent="0.2">
      <c r="A30" s="62"/>
      <c r="B30" s="299" t="s">
        <v>225</v>
      </c>
      <c r="C30" s="298"/>
      <c r="D30" s="2"/>
      <c r="E30" s="2"/>
      <c r="F30" s="2"/>
      <c r="G30" s="89"/>
      <c r="H30" s="285" t="s">
        <v>224</v>
      </c>
      <c r="I30" s="5">
        <f>B12</f>
        <v>0.75</v>
      </c>
      <c r="J30" s="89" t="s">
        <v>31</v>
      </c>
      <c r="K30" s="89"/>
    </row>
    <row r="31" spans="1:12" x14ac:dyDescent="0.2">
      <c r="A31" s="62"/>
      <c r="B31" s="294" t="s">
        <v>264</v>
      </c>
      <c r="C31" s="294"/>
      <c r="D31" s="2"/>
      <c r="E31" s="2"/>
      <c r="F31" s="2"/>
      <c r="G31" s="11" t="s">
        <v>11</v>
      </c>
      <c r="H31" s="21" t="s">
        <v>222</v>
      </c>
      <c r="I31" s="206">
        <v>2</v>
      </c>
      <c r="J31" s="89" t="s">
        <v>31</v>
      </c>
      <c r="K31" s="89"/>
    </row>
    <row r="32" spans="1:12" x14ac:dyDescent="0.2">
      <c r="A32" s="62"/>
      <c r="B32" s="297" t="s">
        <v>263</v>
      </c>
      <c r="C32" s="296">
        <f>F22*12/B12</f>
        <v>264.29917550058889</v>
      </c>
      <c r="D32" s="2"/>
      <c r="E32" s="40"/>
      <c r="F32" s="17" t="s">
        <v>33</v>
      </c>
      <c r="G32" s="357">
        <f>I32/12</f>
        <v>22.600706713780919</v>
      </c>
      <c r="H32" s="356" t="s">
        <v>220</v>
      </c>
      <c r="I32" s="285">
        <f>G35+H35+I35+J35</f>
        <v>271.20848056537102</v>
      </c>
      <c r="J32" s="12" t="s">
        <v>31</v>
      </c>
      <c r="K32" s="295"/>
    </row>
    <row r="33" spans="1:12" x14ac:dyDescent="0.2">
      <c r="A33" s="62"/>
      <c r="B33" s="294" t="s">
        <v>219</v>
      </c>
      <c r="C33" s="294"/>
      <c r="D33" s="2"/>
      <c r="E33" s="2"/>
      <c r="F33" s="17" t="s">
        <v>29</v>
      </c>
      <c r="G33" s="166">
        <f>0.04*G22+G22</f>
        <v>206.15335689045932</v>
      </c>
      <c r="H33" s="32">
        <f>G20</f>
        <v>198.22438162544165</v>
      </c>
      <c r="I33" s="160">
        <f>-0.04*G22+G22</f>
        <v>190.29540636042398</v>
      </c>
      <c r="J33" s="160">
        <f>-0.015*I33+I33</f>
        <v>187.44097526501761</v>
      </c>
      <c r="K33" s="160">
        <f>-0.015*J33+J33</f>
        <v>184.62936063604235</v>
      </c>
    </row>
    <row r="34" spans="1:12" ht="13.5" thickBot="1" x14ac:dyDescent="0.25">
      <c r="A34" s="62"/>
      <c r="B34" s="294" t="s">
        <v>218</v>
      </c>
      <c r="C34" s="293"/>
      <c r="D34" s="2"/>
      <c r="E34" s="2"/>
      <c r="F34" s="2"/>
      <c r="G34" s="292" t="s">
        <v>28</v>
      </c>
      <c r="H34" s="292" t="s">
        <v>27</v>
      </c>
      <c r="I34" s="291" t="s">
        <v>26</v>
      </c>
      <c r="J34" s="291" t="s">
        <v>25</v>
      </c>
      <c r="K34" s="290" t="s">
        <v>96</v>
      </c>
    </row>
    <row r="35" spans="1:12" ht="14.25" thickTop="1" thickBot="1" x14ac:dyDescent="0.25">
      <c r="A35" s="62"/>
      <c r="B35" s="289">
        <v>0.95</v>
      </c>
      <c r="C35" s="288" t="s">
        <v>217</v>
      </c>
      <c r="D35" s="2"/>
      <c r="E35" s="2"/>
      <c r="F35" s="17" t="s">
        <v>216</v>
      </c>
      <c r="G35" s="165">
        <f>J18</f>
        <v>62.586572438162541</v>
      </c>
      <c r="H35" s="165">
        <f>J18</f>
        <v>62.586572438162541</v>
      </c>
      <c r="I35" s="165">
        <f>J18</f>
        <v>62.586572438162541</v>
      </c>
      <c r="J35" s="32">
        <f>J19</f>
        <v>83.448763250883388</v>
      </c>
      <c r="K35" s="89"/>
      <c r="L35" s="287" t="s">
        <v>11</v>
      </c>
    </row>
    <row r="36" spans="1:12" x14ac:dyDescent="0.2">
      <c r="A36" s="51" t="s">
        <v>100</v>
      </c>
      <c r="B36" s="50"/>
      <c r="C36" s="50"/>
      <c r="D36" s="2"/>
      <c r="E36" s="2"/>
      <c r="F36" s="2"/>
      <c r="G36" s="89"/>
      <c r="H36" s="89"/>
      <c r="I36" s="89"/>
      <c r="J36" s="89"/>
      <c r="K36" s="89"/>
    </row>
    <row r="37" spans="1:12" x14ac:dyDescent="0.2">
      <c r="B37" s="2"/>
      <c r="C37" s="2"/>
      <c r="D37" s="2"/>
      <c r="E37" s="2" t="s">
        <v>215</v>
      </c>
      <c r="F37" s="2"/>
      <c r="G37" s="89"/>
      <c r="H37" s="89"/>
      <c r="I37" s="89"/>
      <c r="J37" s="89"/>
      <c r="K37" s="89"/>
    </row>
    <row r="38" spans="1:12" x14ac:dyDescent="0.2">
      <c r="B38" s="2"/>
      <c r="C38" s="2"/>
      <c r="D38" s="2"/>
      <c r="E38" s="19" t="s">
        <v>214</v>
      </c>
      <c r="F38" s="2"/>
      <c r="G38" s="89"/>
      <c r="H38" s="89"/>
      <c r="I38" s="89"/>
      <c r="J38" s="89"/>
      <c r="K38" s="89"/>
    </row>
    <row r="39" spans="1:12" x14ac:dyDescent="0.2">
      <c r="B39" s="2"/>
      <c r="C39" s="2"/>
      <c r="D39" s="2"/>
      <c r="E39" s="2" t="s">
        <v>213</v>
      </c>
      <c r="F39" s="2"/>
      <c r="G39" s="89"/>
      <c r="H39" s="89"/>
      <c r="I39" s="89"/>
      <c r="J39" s="89"/>
      <c r="K39" s="89"/>
    </row>
    <row r="40" spans="1:12" x14ac:dyDescent="0.2">
      <c r="B40" s="2"/>
      <c r="C40" s="2"/>
      <c r="D40" s="2"/>
      <c r="E40" s="2"/>
      <c r="F40" s="2"/>
      <c r="G40" s="89"/>
      <c r="H40" s="89"/>
      <c r="I40" s="89"/>
      <c r="J40" s="89"/>
      <c r="K40" s="89"/>
    </row>
    <row r="41" spans="1:12" x14ac:dyDescent="0.2">
      <c r="B41" s="2"/>
      <c r="C41" s="2"/>
      <c r="D41" s="2"/>
      <c r="E41" s="22" t="s">
        <v>212</v>
      </c>
      <c r="F41" s="2"/>
      <c r="G41" s="89"/>
      <c r="H41" s="89"/>
      <c r="I41" s="89"/>
      <c r="J41" s="89"/>
      <c r="K41" s="89"/>
    </row>
    <row r="42" spans="1:12" ht="13.5" thickBot="1" x14ac:dyDescent="0.25">
      <c r="B42" s="2"/>
      <c r="C42" s="2"/>
      <c r="D42" s="2"/>
      <c r="E42" s="2"/>
      <c r="F42" s="2"/>
      <c r="G42" s="89"/>
      <c r="H42" s="89"/>
      <c r="I42" s="32">
        <f>H33</f>
        <v>198.22438162544165</v>
      </c>
      <c r="J42" s="89" t="s">
        <v>138</v>
      </c>
      <c r="K42" s="89"/>
    </row>
    <row r="43" spans="1:12" ht="13.5" thickTop="1" x14ac:dyDescent="0.2">
      <c r="B43" s="2"/>
      <c r="C43" s="13" t="s">
        <v>4</v>
      </c>
      <c r="D43" s="13"/>
      <c r="E43" s="19" t="s">
        <v>13</v>
      </c>
      <c r="F43" s="18" t="s">
        <v>12</v>
      </c>
      <c r="G43" s="286"/>
      <c r="H43" s="286"/>
      <c r="I43" s="286" t="s">
        <v>11</v>
      </c>
      <c r="J43" s="286"/>
      <c r="K43" s="89"/>
    </row>
    <row r="44" spans="1:12" x14ac:dyDescent="0.2">
      <c r="B44" s="2"/>
      <c r="C44" s="2"/>
      <c r="D44" s="2"/>
      <c r="E44" s="2"/>
      <c r="F44" s="7" t="s">
        <v>9</v>
      </c>
      <c r="G44" s="12">
        <f>0.007*G17</f>
        <v>2.7751413427561831</v>
      </c>
      <c r="H44" s="89"/>
      <c r="I44" s="285" t="s">
        <v>8</v>
      </c>
      <c r="J44" s="89" t="s">
        <v>211</v>
      </c>
      <c r="K44" s="89"/>
    </row>
    <row r="45" spans="1:12" x14ac:dyDescent="0.2">
      <c r="B45" s="2"/>
      <c r="E45" s="13"/>
      <c r="F45" s="7" t="s">
        <v>210</v>
      </c>
      <c r="G45" s="12">
        <f>0.058*G17</f>
        <v>22.994028268551233</v>
      </c>
      <c r="H45" s="89"/>
      <c r="I45" s="89" t="s">
        <v>133</v>
      </c>
      <c r="J45" s="89"/>
      <c r="K45" s="89"/>
    </row>
    <row r="46" spans="1:12" x14ac:dyDescent="0.2">
      <c r="B46" s="2"/>
      <c r="C46" s="13" t="s">
        <v>11</v>
      </c>
      <c r="D46" s="13"/>
      <c r="E46" s="2" t="s">
        <v>209</v>
      </c>
      <c r="F46" s="2"/>
      <c r="G46" s="5">
        <f>300/B9*7</f>
        <v>74.204946996466418</v>
      </c>
      <c r="H46" s="2" t="s">
        <v>2</v>
      </c>
      <c r="I46" s="2"/>
      <c r="J46" s="2"/>
      <c r="K46" s="2"/>
    </row>
    <row r="47" spans="1:12" x14ac:dyDescent="0.2">
      <c r="B47" s="2"/>
      <c r="C47" s="90" t="s">
        <v>128</v>
      </c>
      <c r="D47" s="13"/>
      <c r="E47" s="26" t="s">
        <v>208</v>
      </c>
      <c r="F47" s="2"/>
      <c r="G47" s="2"/>
      <c r="H47" s="2"/>
      <c r="I47" s="2"/>
      <c r="J47" s="2"/>
      <c r="K47" s="2"/>
    </row>
    <row r="48" spans="1:12" x14ac:dyDescent="0.2">
      <c r="B48" s="2"/>
      <c r="C48" s="2"/>
      <c r="D48" s="2"/>
      <c r="E48" s="26" t="s">
        <v>207</v>
      </c>
      <c r="F48" s="2"/>
      <c r="G48" s="2"/>
      <c r="H48" s="2"/>
      <c r="I48" s="2"/>
      <c r="J48" s="2"/>
      <c r="K48" s="2"/>
    </row>
    <row r="49" spans="2:11" x14ac:dyDescent="0.2">
      <c r="B49" s="2"/>
      <c r="C49" s="2"/>
      <c r="D49" s="2"/>
      <c r="E49" s="2"/>
      <c r="F49" s="2"/>
      <c r="G49" s="2"/>
      <c r="H49" s="2"/>
      <c r="I49" s="2"/>
      <c r="J49" s="2"/>
      <c r="K49" s="2"/>
    </row>
    <row r="50" spans="2:11" x14ac:dyDescent="0.2">
      <c r="B50" s="2"/>
      <c r="C50" s="2"/>
      <c r="D50" s="2"/>
      <c r="E50" s="2"/>
      <c r="F50" s="2"/>
      <c r="G50" s="2"/>
      <c r="H50" s="2"/>
      <c r="I50" s="2"/>
      <c r="J50" s="2"/>
      <c r="K50" s="2"/>
    </row>
  </sheetData>
  <pageMargins left="0.5" right="0.5" top="1" bottom="0.75" header="0.5" footer="0.5"/>
  <pageSetup scale="85" orientation="portrait" horizontalDpi="360" verticalDpi="360" r:id="rId1"/>
  <headerFooter alignWithMargins="0">
    <oddHeader>&amp;R&amp;D&amp;F</oddHeader>
  </headerFooter>
  <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50"/>
  <sheetViews>
    <sheetView workbookViewId="0">
      <selection activeCell="R34" sqref="R34"/>
    </sheetView>
  </sheetViews>
  <sheetFormatPr defaultRowHeight="12.75" x14ac:dyDescent="0.2"/>
  <cols>
    <col min="1" max="1" width="2.7109375" style="1" customWidth="1"/>
    <col min="2" max="3" width="9.140625" style="1"/>
    <col min="4" max="4" width="1.7109375" style="1" customWidth="1"/>
    <col min="5" max="5" width="10.140625" style="1" bestFit="1" customWidth="1"/>
    <col min="6" max="7" width="9.140625" style="1"/>
    <col min="8" max="8" width="10.140625" style="1" bestFit="1" customWidth="1"/>
    <col min="9" max="11" width="9.140625" style="1"/>
    <col min="12" max="12" width="9.85546875" style="1" bestFit="1" customWidth="1"/>
    <col min="13" max="16384" width="9.140625" style="1"/>
  </cols>
  <sheetData>
    <row r="1" spans="1:12" x14ac:dyDescent="0.2">
      <c r="B1" s="2"/>
      <c r="C1" s="2"/>
      <c r="D1" s="2"/>
      <c r="E1" s="2"/>
      <c r="F1" s="2"/>
      <c r="G1" s="2"/>
      <c r="H1" s="2"/>
      <c r="I1" s="2"/>
      <c r="J1" s="2"/>
      <c r="K1" s="2"/>
    </row>
    <row r="2" spans="1:12" ht="30" x14ac:dyDescent="0.4">
      <c r="B2" s="2"/>
      <c r="C2" s="2"/>
      <c r="D2" s="2"/>
      <c r="E2" s="2"/>
      <c r="F2" s="106" t="s">
        <v>317</v>
      </c>
      <c r="G2" s="2"/>
      <c r="H2" s="2"/>
      <c r="I2" s="2"/>
      <c r="J2" s="2"/>
      <c r="K2" s="2"/>
    </row>
    <row r="3" spans="1:12" x14ac:dyDescent="0.2">
      <c r="B3" s="2"/>
      <c r="C3" s="2" t="s">
        <v>11</v>
      </c>
      <c r="D3" s="2"/>
      <c r="E3" s="2"/>
      <c r="F3" s="26"/>
      <c r="G3" s="2"/>
      <c r="H3" s="2"/>
      <c r="I3" s="19" t="s">
        <v>11</v>
      </c>
      <c r="J3" s="2"/>
      <c r="K3" s="2"/>
    </row>
    <row r="4" spans="1:12" x14ac:dyDescent="0.2">
      <c r="B4" s="2" t="s">
        <v>11</v>
      </c>
      <c r="C4" s="2" t="s">
        <v>11</v>
      </c>
      <c r="D4" s="2"/>
      <c r="E4" s="102" t="s">
        <v>262</v>
      </c>
      <c r="F4" s="2"/>
      <c r="G4" s="2"/>
      <c r="H4" s="2"/>
      <c r="I4" s="2"/>
      <c r="J4" s="2"/>
      <c r="K4" s="13" t="s">
        <v>11</v>
      </c>
    </row>
    <row r="5" spans="1:12" x14ac:dyDescent="0.2">
      <c r="B5" s="2"/>
      <c r="C5" s="2"/>
      <c r="D5" s="2"/>
      <c r="E5" s="102"/>
      <c r="F5" s="2"/>
      <c r="G5" s="2"/>
      <c r="H5" s="2"/>
      <c r="I5" s="2"/>
      <c r="J5" s="2"/>
      <c r="K5" s="90" t="s">
        <v>261</v>
      </c>
    </row>
    <row r="6" spans="1:12" x14ac:dyDescent="0.2">
      <c r="B6" s="100" t="s">
        <v>11</v>
      </c>
      <c r="C6" s="2"/>
      <c r="D6" s="81"/>
      <c r="H6" s="2"/>
      <c r="I6" s="90" t="s">
        <v>260</v>
      </c>
      <c r="J6" s="2"/>
      <c r="K6" s="90" t="s">
        <v>121</v>
      </c>
      <c r="L6" s="26" t="s">
        <v>259</v>
      </c>
    </row>
    <row r="7" spans="1:12" ht="13.5" thickBot="1" x14ac:dyDescent="0.25">
      <c r="A7" s="62"/>
      <c r="B7" s="355" t="s">
        <v>258</v>
      </c>
      <c r="C7" s="50"/>
      <c r="D7" s="81"/>
      <c r="H7" s="43"/>
      <c r="I7" s="90" t="s">
        <v>77</v>
      </c>
      <c r="J7" s="2"/>
      <c r="K7" s="90" t="s">
        <v>257</v>
      </c>
      <c r="L7" s="26" t="s">
        <v>217</v>
      </c>
    </row>
    <row r="8" spans="1:12" ht="13.5" thickBot="1" x14ac:dyDescent="0.25">
      <c r="A8" s="62"/>
      <c r="B8" s="354" t="s">
        <v>125</v>
      </c>
      <c r="C8" s="50"/>
      <c r="D8" s="81"/>
      <c r="H8" s="353"/>
      <c r="I8" s="352" t="s">
        <v>61</v>
      </c>
      <c r="J8" s="352" t="s">
        <v>60</v>
      </c>
      <c r="K8" s="351" t="s">
        <v>256</v>
      </c>
      <c r="L8" s="350">
        <v>0.9</v>
      </c>
    </row>
    <row r="9" spans="1:12" ht="13.5" thickBot="1" x14ac:dyDescent="0.25">
      <c r="A9" s="62"/>
      <c r="B9" s="289">
        <v>28.3</v>
      </c>
      <c r="C9" s="96" t="s">
        <v>73</v>
      </c>
      <c r="D9" s="349"/>
      <c r="H9" s="348" t="s">
        <v>57</v>
      </c>
      <c r="I9" s="71">
        <f>984/B9</f>
        <v>34.770318021201412</v>
      </c>
      <c r="J9" s="327">
        <f t="shared" ref="J9:J14" si="0">12*I9</f>
        <v>417.24381625441697</v>
      </c>
      <c r="K9" s="346" t="s">
        <v>255</v>
      </c>
      <c r="L9" s="329">
        <v>0.91</v>
      </c>
    </row>
    <row r="10" spans="1:12" ht="13.5" thickBot="1" x14ac:dyDescent="0.25">
      <c r="A10" s="62"/>
      <c r="B10" s="151"/>
      <c r="C10" s="347" t="s">
        <v>254</v>
      </c>
      <c r="D10" s="81"/>
      <c r="H10" s="341" t="s">
        <v>54</v>
      </c>
      <c r="I10" s="71">
        <f>3*I13</f>
        <v>26.077738515901061</v>
      </c>
      <c r="J10" s="327">
        <f t="shared" si="0"/>
        <v>312.93286219081273</v>
      </c>
      <c r="K10" s="346" t="s">
        <v>253</v>
      </c>
      <c r="L10" s="329">
        <v>0.91500000000000004</v>
      </c>
    </row>
    <row r="11" spans="1:12" ht="13.5" thickBot="1" x14ac:dyDescent="0.25">
      <c r="A11" s="62"/>
      <c r="B11" s="345">
        <v>1</v>
      </c>
      <c r="C11" s="288" t="s">
        <v>10</v>
      </c>
      <c r="D11" s="81"/>
      <c r="H11" s="341" t="s">
        <v>52</v>
      </c>
      <c r="I11" s="71">
        <f>5*I14</f>
        <v>21.731448763250881</v>
      </c>
      <c r="J11" s="327">
        <f t="shared" si="0"/>
        <v>260.77738515901058</v>
      </c>
      <c r="K11" s="330" t="s">
        <v>252</v>
      </c>
      <c r="L11" s="329">
        <v>0.92</v>
      </c>
    </row>
    <row r="12" spans="1:12" ht="13.5" thickBot="1" x14ac:dyDescent="0.25">
      <c r="A12" s="62"/>
      <c r="B12" s="345">
        <v>0.75</v>
      </c>
      <c r="C12" s="288" t="s">
        <v>251</v>
      </c>
      <c r="D12" s="81"/>
      <c r="H12" s="344" t="s">
        <v>69</v>
      </c>
      <c r="I12" s="67">
        <f>I9/2</f>
        <v>17.385159010600706</v>
      </c>
      <c r="J12" s="343">
        <f t="shared" si="0"/>
        <v>208.62190812720848</v>
      </c>
      <c r="K12" s="330" t="s">
        <v>250</v>
      </c>
      <c r="L12" s="329">
        <v>0.92500000000000004</v>
      </c>
    </row>
    <row r="13" spans="1:12" x14ac:dyDescent="0.2">
      <c r="A13" s="62"/>
      <c r="B13" s="342" t="s">
        <v>249</v>
      </c>
      <c r="C13" s="316">
        <v>1.25</v>
      </c>
      <c r="D13" s="81"/>
      <c r="H13" s="341" t="s">
        <v>44</v>
      </c>
      <c r="I13" s="71">
        <f>I12/2</f>
        <v>8.6925795053003529</v>
      </c>
      <c r="J13" s="327">
        <f t="shared" si="0"/>
        <v>104.31095406360424</v>
      </c>
      <c r="K13" s="330" t="s">
        <v>248</v>
      </c>
      <c r="L13" s="329">
        <v>0.93</v>
      </c>
    </row>
    <row r="14" spans="1:12" x14ac:dyDescent="0.2">
      <c r="A14" s="62"/>
      <c r="B14" s="340" t="s">
        <v>247</v>
      </c>
      <c r="C14" s="316">
        <v>1</v>
      </c>
      <c r="D14" s="81"/>
      <c r="H14" s="339" t="s">
        <v>65</v>
      </c>
      <c r="I14" s="128">
        <f>I13/2</f>
        <v>4.3462897526501765</v>
      </c>
      <c r="J14" s="338">
        <f t="shared" si="0"/>
        <v>52.155477031802121</v>
      </c>
      <c r="K14" s="330" t="s">
        <v>246</v>
      </c>
      <c r="L14" s="329">
        <v>0.93500000000000005</v>
      </c>
    </row>
    <row r="15" spans="1:12" ht="13.5" thickBot="1" x14ac:dyDescent="0.25">
      <c r="A15" s="62"/>
      <c r="B15" s="337" t="s">
        <v>245</v>
      </c>
      <c r="C15" s="316">
        <v>0.75</v>
      </c>
      <c r="D15" s="81"/>
      <c r="E15" s="26"/>
      <c r="F15" s="90" t="s">
        <v>244</v>
      </c>
      <c r="G15" s="89"/>
      <c r="H15" s="336"/>
      <c r="I15" s="335" t="s">
        <v>243</v>
      </c>
      <c r="J15" s="334"/>
      <c r="K15" s="330" t="s">
        <v>242</v>
      </c>
      <c r="L15" s="329">
        <v>0.94699999999999995</v>
      </c>
    </row>
    <row r="16" spans="1:12" x14ac:dyDescent="0.2">
      <c r="A16" s="62"/>
      <c r="B16" s="317" t="s">
        <v>241</v>
      </c>
      <c r="C16" s="316">
        <f>5*C20</f>
        <v>0.625</v>
      </c>
      <c r="D16" s="81"/>
      <c r="E16" s="333" t="s">
        <v>11</v>
      </c>
      <c r="F16" s="332" t="s">
        <v>61</v>
      </c>
      <c r="G16" s="331" t="s">
        <v>60</v>
      </c>
      <c r="H16" s="309" t="s">
        <v>11</v>
      </c>
      <c r="I16" s="71" t="s">
        <v>240</v>
      </c>
      <c r="J16" s="327" t="s">
        <v>239</v>
      </c>
      <c r="K16" s="330" t="s">
        <v>238</v>
      </c>
      <c r="L16" s="329">
        <v>0.96</v>
      </c>
    </row>
    <row r="17" spans="1:12" ht="13.5" thickBot="1" x14ac:dyDescent="0.25">
      <c r="A17" s="62"/>
      <c r="B17" s="317" t="s">
        <v>237</v>
      </c>
      <c r="C17" s="316">
        <v>0.5</v>
      </c>
      <c r="D17" s="81"/>
      <c r="E17" s="328" t="s">
        <v>57</v>
      </c>
      <c r="F17" s="322">
        <f>11810*B28/B9/12</f>
        <v>32.933068315665487</v>
      </c>
      <c r="G17" s="321">
        <f>F17*12</f>
        <v>395.19681978798587</v>
      </c>
      <c r="H17" s="309" t="s">
        <v>176</v>
      </c>
      <c r="I17" s="71">
        <f>0.1*I9</f>
        <v>3.4770318021201412</v>
      </c>
      <c r="J17" s="327">
        <f t="shared" ref="J17:J22" si="1">12*I17</f>
        <v>41.724381625441694</v>
      </c>
      <c r="K17" s="326" t="s">
        <v>236</v>
      </c>
      <c r="L17" s="325">
        <v>0.97</v>
      </c>
    </row>
    <row r="18" spans="1:12" x14ac:dyDescent="0.2">
      <c r="A18" s="62"/>
      <c r="B18" s="317" t="s">
        <v>235</v>
      </c>
      <c r="C18" s="316">
        <f>3*C20</f>
        <v>0.375</v>
      </c>
      <c r="D18" s="78"/>
      <c r="E18" s="323" t="s">
        <v>54</v>
      </c>
      <c r="F18" s="322">
        <f>F21+F20</f>
        <v>24.699801236749117</v>
      </c>
      <c r="G18" s="321">
        <f>G21+G20</f>
        <v>296.39761484098938</v>
      </c>
      <c r="H18" s="320" t="s">
        <v>173</v>
      </c>
      <c r="I18" s="319">
        <f>0.15*I9</f>
        <v>5.2155477031802118</v>
      </c>
      <c r="J18" s="318">
        <f t="shared" si="1"/>
        <v>62.586572438162541</v>
      </c>
      <c r="K18" s="2"/>
    </row>
    <row r="19" spans="1:12" x14ac:dyDescent="0.2">
      <c r="A19" s="62"/>
      <c r="B19" s="324" t="s">
        <v>234</v>
      </c>
      <c r="C19" s="316">
        <v>0.25</v>
      </c>
      <c r="D19" s="59"/>
      <c r="E19" s="323" t="s">
        <v>52</v>
      </c>
      <c r="F19" s="322">
        <f>F21/2*5</f>
        <v>20.583167697290929</v>
      </c>
      <c r="G19" s="321">
        <f>G21/2*5</f>
        <v>246.99801236749119</v>
      </c>
      <c r="H19" s="320" t="s">
        <v>170</v>
      </c>
      <c r="I19" s="319">
        <f>0.2*I9</f>
        <v>6.9540636042402824</v>
      </c>
      <c r="J19" s="318">
        <f t="shared" si="1"/>
        <v>83.448763250883388</v>
      </c>
      <c r="K19" s="2"/>
      <c r="L19" s="158" t="s">
        <v>11</v>
      </c>
    </row>
    <row r="20" spans="1:12" x14ac:dyDescent="0.2">
      <c r="A20" s="62"/>
      <c r="B20" s="317" t="s">
        <v>233</v>
      </c>
      <c r="C20" s="316">
        <v>0.125</v>
      </c>
      <c r="D20" s="59"/>
      <c r="E20" s="315" t="s">
        <v>68</v>
      </c>
      <c r="F20" s="314">
        <f>F17/2</f>
        <v>16.466534157832744</v>
      </c>
      <c r="G20" s="313">
        <f>G17/2</f>
        <v>197.59840989399294</v>
      </c>
      <c r="H20" s="309" t="s">
        <v>166</v>
      </c>
      <c r="I20" s="71">
        <f>0.3*I9</f>
        <v>10.431095406360424</v>
      </c>
      <c r="J20" s="308">
        <f t="shared" si="1"/>
        <v>125.17314487632508</v>
      </c>
      <c r="K20" s="2"/>
      <c r="L20" s="1" t="s">
        <v>11</v>
      </c>
    </row>
    <row r="21" spans="1:12" ht="13.5" thickBot="1" x14ac:dyDescent="0.25">
      <c r="A21" s="62"/>
      <c r="B21" s="299" t="s">
        <v>11</v>
      </c>
      <c r="C21" s="299"/>
      <c r="D21" s="59"/>
      <c r="E21" s="312" t="s">
        <v>44</v>
      </c>
      <c r="F21" s="311">
        <f>F17/4</f>
        <v>8.2332670789163718</v>
      </c>
      <c r="G21" s="310">
        <f>G17/4</f>
        <v>98.799204946996468</v>
      </c>
      <c r="H21" s="309" t="s">
        <v>189</v>
      </c>
      <c r="I21" s="71">
        <f>0.4*I9</f>
        <v>13.908127208480565</v>
      </c>
      <c r="J21" s="308">
        <f t="shared" si="1"/>
        <v>166.89752650176678</v>
      </c>
      <c r="K21" s="2"/>
    </row>
    <row r="22" spans="1:12" ht="13.5" thickBot="1" x14ac:dyDescent="0.25">
      <c r="A22" s="62"/>
      <c r="B22" s="307" t="s">
        <v>227</v>
      </c>
      <c r="C22" s="298" t="s">
        <v>11</v>
      </c>
      <c r="D22" s="81"/>
      <c r="E22" s="306" t="s">
        <v>232</v>
      </c>
      <c r="F22" s="305">
        <f>11810*B35/B9/12/2</f>
        <v>16.518698468786805</v>
      </c>
      <c r="G22" s="304">
        <f>F22*12</f>
        <v>198.22438162544165</v>
      </c>
      <c r="H22" s="303">
        <v>0.5</v>
      </c>
      <c r="I22" s="10">
        <f>0.5*I9</f>
        <v>17.385159010600706</v>
      </c>
      <c r="J22" s="302">
        <f t="shared" si="1"/>
        <v>208.62190812720848</v>
      </c>
      <c r="K22" s="2"/>
    </row>
    <row r="23" spans="1:12" x14ac:dyDescent="0.2">
      <c r="A23" s="62"/>
      <c r="B23" s="299" t="s">
        <v>231</v>
      </c>
      <c r="C23" s="298"/>
      <c r="D23" s="2"/>
      <c r="E23" s="26" t="s">
        <v>41</v>
      </c>
      <c r="F23" s="2"/>
      <c r="G23" s="47"/>
      <c r="H23" s="2"/>
      <c r="I23" s="2"/>
      <c r="J23" s="2"/>
      <c r="K23" s="2"/>
    </row>
    <row r="24" spans="1:12" x14ac:dyDescent="0.2">
      <c r="A24" s="62"/>
      <c r="B24" s="294" t="s">
        <v>230</v>
      </c>
      <c r="C24" s="294"/>
      <c r="D24" s="2"/>
      <c r="E24" s="26"/>
      <c r="F24" s="26" t="s">
        <v>229</v>
      </c>
      <c r="G24" s="2"/>
      <c r="H24" s="2"/>
      <c r="I24" s="2"/>
      <c r="J24" s="2"/>
      <c r="K24" s="2"/>
    </row>
    <row r="25" spans="1:12" x14ac:dyDescent="0.2">
      <c r="A25" s="62"/>
      <c r="B25" s="297" t="s">
        <v>221</v>
      </c>
      <c r="C25" s="296">
        <f>F20*12/B11</f>
        <v>197.59840989399294</v>
      </c>
      <c r="D25" s="2"/>
      <c r="E25" s="26" t="s">
        <v>228</v>
      </c>
      <c r="F25" s="26"/>
      <c r="G25" s="2"/>
      <c r="H25" s="2"/>
      <c r="I25" s="2"/>
      <c r="J25" s="2"/>
      <c r="K25" s="2"/>
    </row>
    <row r="26" spans="1:12" x14ac:dyDescent="0.2">
      <c r="A26" s="62"/>
      <c r="B26" s="294" t="s">
        <v>219</v>
      </c>
      <c r="C26" s="294"/>
      <c r="D26" s="2"/>
      <c r="E26" s="2"/>
      <c r="F26" s="2" t="s">
        <v>11</v>
      </c>
      <c r="G26" s="2"/>
      <c r="H26" s="2"/>
      <c r="I26" s="2"/>
      <c r="J26" s="2"/>
      <c r="K26" s="2"/>
    </row>
    <row r="27" spans="1:12" ht="13.5" thickBot="1" x14ac:dyDescent="0.25">
      <c r="A27" s="62"/>
      <c r="B27" s="294" t="s">
        <v>218</v>
      </c>
      <c r="C27" s="293"/>
      <c r="D27" s="2"/>
      <c r="E27" s="2" t="s">
        <v>11</v>
      </c>
      <c r="F27" s="2"/>
      <c r="G27" s="2" t="s">
        <v>11</v>
      </c>
      <c r="H27" s="2" t="s">
        <v>11</v>
      </c>
      <c r="I27" s="2" t="s">
        <v>11</v>
      </c>
      <c r="J27" s="2"/>
      <c r="K27" s="2"/>
    </row>
    <row r="28" spans="1:12" ht="13.5" thickBot="1" x14ac:dyDescent="0.25">
      <c r="A28" s="62"/>
      <c r="B28" s="289">
        <v>0.94699999999999995</v>
      </c>
      <c r="C28" s="288" t="s">
        <v>217</v>
      </c>
      <c r="D28" s="2"/>
      <c r="E28" s="2"/>
      <c r="F28" s="2"/>
      <c r="G28" s="301"/>
      <c r="H28" s="2"/>
      <c r="I28" s="2"/>
      <c r="J28" s="2"/>
      <c r="K28" s="2"/>
    </row>
    <row r="29" spans="1:12" x14ac:dyDescent="0.2">
      <c r="A29" s="62"/>
      <c r="B29" s="300" t="s">
        <v>227</v>
      </c>
      <c r="C29" s="50"/>
      <c r="D29" s="2"/>
      <c r="E29" s="26" t="s">
        <v>36</v>
      </c>
      <c r="F29" s="26" t="s">
        <v>226</v>
      </c>
      <c r="G29" s="2"/>
      <c r="H29" s="2"/>
      <c r="I29" s="244">
        <f>B9</f>
        <v>28.3</v>
      </c>
      <c r="J29" s="2" t="s">
        <v>34</v>
      </c>
      <c r="K29" s="2"/>
    </row>
    <row r="30" spans="1:12" x14ac:dyDescent="0.2">
      <c r="A30" s="62"/>
      <c r="B30" s="299" t="s">
        <v>225</v>
      </c>
      <c r="C30" s="298"/>
      <c r="D30" s="2"/>
      <c r="E30" s="2"/>
      <c r="F30" s="2"/>
      <c r="G30" s="89"/>
      <c r="H30" s="285" t="s">
        <v>224</v>
      </c>
      <c r="I30" s="5">
        <f>B12</f>
        <v>0.75</v>
      </c>
      <c r="J30" s="89" t="s">
        <v>31</v>
      </c>
      <c r="K30" s="89"/>
    </row>
    <row r="31" spans="1:12" x14ac:dyDescent="0.2">
      <c r="A31" s="62"/>
      <c r="B31" s="294" t="s">
        <v>223</v>
      </c>
      <c r="C31" s="294"/>
      <c r="D31" s="2"/>
      <c r="E31" s="2"/>
      <c r="F31" s="2"/>
      <c r="G31" s="11" t="s">
        <v>11</v>
      </c>
      <c r="H31" s="21" t="s">
        <v>222</v>
      </c>
      <c r="I31" s="206">
        <v>2</v>
      </c>
      <c r="J31" s="89" t="s">
        <v>31</v>
      </c>
      <c r="K31" s="89"/>
    </row>
    <row r="32" spans="1:12" x14ac:dyDescent="0.2">
      <c r="A32" s="62"/>
      <c r="B32" s="297" t="s">
        <v>221</v>
      </c>
      <c r="C32" s="296">
        <f>F22*12/B12</f>
        <v>264.29917550058889</v>
      </c>
      <c r="D32" s="2"/>
      <c r="E32" s="40"/>
      <c r="F32" s="17" t="s">
        <v>33</v>
      </c>
      <c r="G32" s="216">
        <f>I32/12</f>
        <v>22.600706713780919</v>
      </c>
      <c r="H32" s="27" t="s">
        <v>220</v>
      </c>
      <c r="I32" s="285">
        <f>G35+H35+I35+J35</f>
        <v>271.20848056537102</v>
      </c>
      <c r="J32" s="28" t="s">
        <v>31</v>
      </c>
      <c r="K32" s="295"/>
    </row>
    <row r="33" spans="1:12" x14ac:dyDescent="0.2">
      <c r="A33" s="62"/>
      <c r="B33" s="294" t="s">
        <v>219</v>
      </c>
      <c r="C33" s="294"/>
      <c r="D33" s="2"/>
      <c r="E33" s="2"/>
      <c r="F33" s="17" t="s">
        <v>29</v>
      </c>
      <c r="G33" s="166">
        <f>0.04*G22+G22</f>
        <v>206.15335689045932</v>
      </c>
      <c r="H33" s="32">
        <f>G20</f>
        <v>197.59840989399294</v>
      </c>
      <c r="I33" s="160">
        <f>-0.04*G22+G22</f>
        <v>190.29540636042398</v>
      </c>
      <c r="J33" s="160">
        <f>-0.015*I33+I33</f>
        <v>187.44097526501761</v>
      </c>
      <c r="K33" s="160">
        <f>-0.015*J33+J33</f>
        <v>184.62936063604235</v>
      </c>
    </row>
    <row r="34" spans="1:12" ht="13.5" thickBot="1" x14ac:dyDescent="0.25">
      <c r="A34" s="62"/>
      <c r="B34" s="294" t="s">
        <v>218</v>
      </c>
      <c r="C34" s="293"/>
      <c r="D34" s="2"/>
      <c r="E34" s="2"/>
      <c r="F34" s="2"/>
      <c r="G34" s="292" t="s">
        <v>28</v>
      </c>
      <c r="H34" s="292" t="s">
        <v>27</v>
      </c>
      <c r="I34" s="291" t="s">
        <v>26</v>
      </c>
      <c r="J34" s="291" t="s">
        <v>25</v>
      </c>
      <c r="K34" s="290" t="s">
        <v>96</v>
      </c>
    </row>
    <row r="35" spans="1:12" ht="14.25" thickTop="1" thickBot="1" x14ac:dyDescent="0.25">
      <c r="A35" s="62"/>
      <c r="B35" s="289">
        <v>0.95</v>
      </c>
      <c r="C35" s="288" t="s">
        <v>217</v>
      </c>
      <c r="D35" s="2"/>
      <c r="E35" s="2"/>
      <c r="F35" s="17" t="s">
        <v>216</v>
      </c>
      <c r="G35" s="165">
        <f>J18</f>
        <v>62.586572438162541</v>
      </c>
      <c r="H35" s="165">
        <f>J18</f>
        <v>62.586572438162541</v>
      </c>
      <c r="I35" s="165">
        <f>J18</f>
        <v>62.586572438162541</v>
      </c>
      <c r="J35" s="32">
        <f>J19</f>
        <v>83.448763250883388</v>
      </c>
      <c r="K35" s="89"/>
      <c r="L35" s="287" t="s">
        <v>11</v>
      </c>
    </row>
    <row r="36" spans="1:12" x14ac:dyDescent="0.2">
      <c r="A36" s="51" t="s">
        <v>100</v>
      </c>
      <c r="B36" s="50"/>
      <c r="C36" s="50"/>
      <c r="D36" s="2"/>
      <c r="E36" s="2"/>
      <c r="F36" s="2"/>
      <c r="G36" s="89"/>
      <c r="H36" s="89"/>
      <c r="I36" s="89"/>
      <c r="J36" s="89"/>
      <c r="K36" s="89"/>
    </row>
    <row r="37" spans="1:12" x14ac:dyDescent="0.2">
      <c r="B37" s="2"/>
      <c r="C37" s="2"/>
      <c r="D37" s="2"/>
      <c r="E37" s="2" t="s">
        <v>215</v>
      </c>
      <c r="F37" s="2"/>
      <c r="G37" s="89"/>
      <c r="H37" s="89"/>
      <c r="I37" s="89"/>
      <c r="J37" s="89"/>
      <c r="K37" s="89"/>
    </row>
    <row r="38" spans="1:12" x14ac:dyDescent="0.2">
      <c r="B38" s="2"/>
      <c r="C38" s="2"/>
      <c r="D38" s="2"/>
      <c r="E38" s="19" t="s">
        <v>214</v>
      </c>
      <c r="F38" s="2"/>
      <c r="G38" s="89"/>
      <c r="H38" s="89"/>
      <c r="I38" s="89"/>
      <c r="J38" s="89"/>
      <c r="K38" s="89"/>
    </row>
    <row r="39" spans="1:12" x14ac:dyDescent="0.2">
      <c r="B39" s="2"/>
      <c r="C39" s="2"/>
      <c r="D39" s="2"/>
      <c r="E39" s="2" t="s">
        <v>213</v>
      </c>
      <c r="F39" s="2"/>
      <c r="G39" s="89"/>
      <c r="H39" s="89"/>
      <c r="I39" s="89"/>
      <c r="J39" s="89"/>
      <c r="K39" s="89"/>
    </row>
    <row r="40" spans="1:12" x14ac:dyDescent="0.2">
      <c r="B40" s="2"/>
      <c r="C40" s="2"/>
      <c r="D40" s="2"/>
      <c r="E40" s="2"/>
      <c r="F40" s="2"/>
      <c r="G40" s="89"/>
      <c r="H40" s="89"/>
      <c r="I40" s="89"/>
      <c r="J40" s="89"/>
      <c r="K40" s="89"/>
    </row>
    <row r="41" spans="1:12" x14ac:dyDescent="0.2">
      <c r="B41" s="2"/>
      <c r="C41" s="2"/>
      <c r="D41" s="2"/>
      <c r="E41" s="22" t="s">
        <v>212</v>
      </c>
      <c r="F41" s="2"/>
      <c r="G41" s="89"/>
      <c r="H41" s="89"/>
      <c r="I41" s="89"/>
      <c r="J41" s="89"/>
      <c r="K41" s="89"/>
    </row>
    <row r="42" spans="1:12" ht="13.5" thickBot="1" x14ac:dyDescent="0.25">
      <c r="B42" s="2"/>
      <c r="C42" s="2"/>
      <c r="D42" s="2"/>
      <c r="E42" s="2"/>
      <c r="F42" s="2"/>
      <c r="G42" s="89"/>
      <c r="H42" s="89"/>
      <c r="I42" s="32">
        <f>H33</f>
        <v>197.59840989399294</v>
      </c>
      <c r="J42" s="89" t="s">
        <v>138</v>
      </c>
      <c r="K42" s="89"/>
    </row>
    <row r="43" spans="1:12" ht="13.5" thickTop="1" x14ac:dyDescent="0.2">
      <c r="B43" s="2"/>
      <c r="C43" s="13" t="s">
        <v>4</v>
      </c>
      <c r="D43" s="13"/>
      <c r="E43" s="19" t="s">
        <v>13</v>
      </c>
      <c r="F43" s="18" t="s">
        <v>12</v>
      </c>
      <c r="G43" s="286"/>
      <c r="H43" s="286"/>
      <c r="I43" s="286" t="s">
        <v>11</v>
      </c>
      <c r="J43" s="286"/>
      <c r="K43" s="89"/>
    </row>
    <row r="44" spans="1:12" x14ac:dyDescent="0.2">
      <c r="B44" s="2"/>
      <c r="C44" s="2"/>
      <c r="D44" s="2"/>
      <c r="E44" s="2"/>
      <c r="F44" s="7" t="s">
        <v>9</v>
      </c>
      <c r="G44" s="12">
        <f>0.007*G17</f>
        <v>2.7663777385159012</v>
      </c>
      <c r="H44" s="89"/>
      <c r="I44" s="285" t="s">
        <v>8</v>
      </c>
      <c r="J44" s="89" t="s">
        <v>211</v>
      </c>
      <c r="K44" s="89"/>
    </row>
    <row r="45" spans="1:12" x14ac:dyDescent="0.2">
      <c r="B45" s="2"/>
      <c r="E45" s="13"/>
      <c r="F45" s="7" t="s">
        <v>210</v>
      </c>
      <c r="G45" s="12">
        <f>0.058*G17</f>
        <v>22.92141554770318</v>
      </c>
      <c r="H45" s="89"/>
      <c r="I45" s="89" t="s">
        <v>133</v>
      </c>
      <c r="J45" s="89"/>
      <c r="K45" s="89"/>
    </row>
    <row r="46" spans="1:12" x14ac:dyDescent="0.2">
      <c r="B46" s="2"/>
      <c r="C46" s="13" t="s">
        <v>11</v>
      </c>
      <c r="D46" s="13"/>
      <c r="E46" s="2" t="s">
        <v>209</v>
      </c>
      <c r="F46" s="2"/>
      <c r="G46" s="5">
        <f>300/B9*7</f>
        <v>74.204946996466418</v>
      </c>
      <c r="H46" s="2" t="s">
        <v>2</v>
      </c>
      <c r="I46" s="2"/>
      <c r="J46" s="2"/>
      <c r="K46" s="2"/>
    </row>
    <row r="47" spans="1:12" x14ac:dyDescent="0.2">
      <c r="B47" s="2"/>
      <c r="C47" s="90" t="s">
        <v>128</v>
      </c>
      <c r="D47" s="13"/>
      <c r="E47" s="26" t="s">
        <v>208</v>
      </c>
      <c r="F47" s="2"/>
      <c r="G47" s="2"/>
      <c r="H47" s="2"/>
      <c r="I47" s="2"/>
      <c r="J47" s="2"/>
      <c r="K47" s="2"/>
    </row>
    <row r="48" spans="1:12" x14ac:dyDescent="0.2">
      <c r="B48" s="2"/>
      <c r="C48" s="2"/>
      <c r="D48" s="2"/>
      <c r="E48" s="26" t="s">
        <v>207</v>
      </c>
      <c r="F48" s="2"/>
      <c r="G48" s="2"/>
      <c r="H48" s="2"/>
      <c r="I48" s="2"/>
      <c r="J48" s="2"/>
      <c r="K48" s="2"/>
    </row>
    <row r="49" spans="2:11" x14ac:dyDescent="0.2">
      <c r="B49" s="2"/>
      <c r="C49" s="2"/>
      <c r="D49" s="2"/>
      <c r="E49" s="2"/>
      <c r="F49" s="2"/>
      <c r="G49" s="2"/>
      <c r="H49" s="2"/>
      <c r="I49" s="2"/>
      <c r="J49" s="2"/>
      <c r="K49" s="2"/>
    </row>
    <row r="50" spans="2:11" x14ac:dyDescent="0.2">
      <c r="B50" s="2"/>
      <c r="C50" s="2"/>
      <c r="D50" s="2"/>
      <c r="E50" s="2"/>
      <c r="F50" s="2"/>
      <c r="G50" s="2"/>
      <c r="H50" s="2"/>
      <c r="I50" s="2"/>
      <c r="J50" s="2"/>
      <c r="K50" s="2"/>
    </row>
  </sheetData>
  <pageMargins left="0.5" right="0.5" top="1" bottom="0.75" header="0.5" footer="0.5"/>
  <pageSetup scale="90" orientation="portrait" horizontalDpi="360" verticalDpi="360" r:id="rId1"/>
  <headerFooter alignWithMargins="0">
    <oddHeader>&amp;R&amp;D&amp;F</oddHeader>
  </headerFooter>
  <drawing r:id="rId2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50"/>
  <sheetViews>
    <sheetView workbookViewId="0">
      <selection activeCell="Q27" sqref="Q27"/>
    </sheetView>
  </sheetViews>
  <sheetFormatPr defaultRowHeight="12.75" x14ac:dyDescent="0.2"/>
  <cols>
    <col min="1" max="1" width="2.7109375" style="1" customWidth="1"/>
    <col min="2" max="3" width="9.140625" style="1"/>
    <col min="4" max="4" width="1.7109375" style="1" customWidth="1"/>
    <col min="5" max="5" width="10.140625" style="1" bestFit="1" customWidth="1"/>
    <col min="6" max="7" width="9.140625" style="1"/>
    <col min="8" max="8" width="10.140625" style="1" bestFit="1" customWidth="1"/>
    <col min="9" max="11" width="9.140625" style="1"/>
    <col min="12" max="12" width="9.85546875" style="1" bestFit="1" customWidth="1"/>
    <col min="13" max="16384" width="9.140625" style="1"/>
  </cols>
  <sheetData>
    <row r="1" spans="1:12" x14ac:dyDescent="0.2">
      <c r="B1" s="2"/>
      <c r="C1" s="2"/>
      <c r="D1" s="2"/>
      <c r="E1" s="2"/>
      <c r="F1" s="2"/>
      <c r="G1" s="2"/>
      <c r="H1" s="2"/>
      <c r="I1" s="2"/>
      <c r="J1" s="2"/>
      <c r="K1" s="2"/>
    </row>
    <row r="2" spans="1:12" ht="30" x14ac:dyDescent="0.4">
      <c r="B2" s="2"/>
      <c r="C2" s="2"/>
      <c r="D2" s="2"/>
      <c r="E2" s="2"/>
      <c r="F2" s="106" t="s">
        <v>319</v>
      </c>
      <c r="G2" s="2"/>
      <c r="H2" s="2"/>
      <c r="I2" s="2"/>
      <c r="J2" s="2"/>
      <c r="K2" s="2"/>
    </row>
    <row r="3" spans="1:12" x14ac:dyDescent="0.2">
      <c r="B3" s="2"/>
      <c r="C3" s="2" t="s">
        <v>11</v>
      </c>
      <c r="D3" s="2"/>
      <c r="E3" s="2"/>
      <c r="F3" s="26"/>
      <c r="G3" s="2"/>
      <c r="H3" s="2"/>
      <c r="I3" s="19" t="s">
        <v>11</v>
      </c>
      <c r="J3" s="2"/>
      <c r="K3" s="2"/>
    </row>
    <row r="4" spans="1:12" x14ac:dyDescent="0.2">
      <c r="B4" s="2" t="s">
        <v>11</v>
      </c>
      <c r="C4" s="2" t="s">
        <v>11</v>
      </c>
      <c r="D4" s="2"/>
      <c r="E4" s="102" t="s">
        <v>271</v>
      </c>
      <c r="F4" s="2"/>
      <c r="G4" s="2"/>
      <c r="H4" s="2"/>
      <c r="I4" s="2"/>
      <c r="J4" s="2"/>
      <c r="K4" s="13" t="s">
        <v>11</v>
      </c>
    </row>
    <row r="5" spans="1:12" x14ac:dyDescent="0.2">
      <c r="B5" s="2"/>
      <c r="C5" s="2"/>
      <c r="D5" s="2"/>
      <c r="E5" s="102"/>
      <c r="F5" s="2"/>
      <c r="G5" s="2"/>
      <c r="H5" s="2"/>
      <c r="I5" s="2"/>
      <c r="J5" s="2"/>
      <c r="K5" s="90" t="s">
        <v>261</v>
      </c>
    </row>
    <row r="6" spans="1:12" x14ac:dyDescent="0.2">
      <c r="B6" s="100" t="s">
        <v>11</v>
      </c>
      <c r="C6" s="2"/>
      <c r="D6" s="81"/>
      <c r="H6" s="2"/>
      <c r="I6" s="90" t="s">
        <v>260</v>
      </c>
      <c r="J6" s="2"/>
      <c r="K6" s="90" t="s">
        <v>121</v>
      </c>
      <c r="L6" s="26" t="s">
        <v>259</v>
      </c>
    </row>
    <row r="7" spans="1:12" ht="13.5" thickBot="1" x14ac:dyDescent="0.25">
      <c r="A7" s="62"/>
      <c r="B7" s="355" t="s">
        <v>270</v>
      </c>
      <c r="C7" s="50"/>
      <c r="D7" s="81"/>
      <c r="H7" s="43"/>
      <c r="I7" s="90" t="s">
        <v>77</v>
      </c>
      <c r="J7" s="2"/>
      <c r="K7" s="90" t="s">
        <v>257</v>
      </c>
      <c r="L7" s="26" t="s">
        <v>217</v>
      </c>
    </row>
    <row r="8" spans="1:12" ht="13.5" thickBot="1" x14ac:dyDescent="0.25">
      <c r="A8" s="62"/>
      <c r="B8" s="151" t="s">
        <v>269</v>
      </c>
      <c r="C8" s="50"/>
      <c r="D8" s="81"/>
      <c r="H8" s="353"/>
      <c r="I8" s="352" t="s">
        <v>61</v>
      </c>
      <c r="J8" s="352" t="s">
        <v>60</v>
      </c>
      <c r="K8" s="351" t="s">
        <v>256</v>
      </c>
      <c r="L8" s="350">
        <v>0.9</v>
      </c>
    </row>
    <row r="9" spans="1:12" ht="13.5" thickBot="1" x14ac:dyDescent="0.25">
      <c r="A9" s="62"/>
      <c r="B9" s="289">
        <v>223.5</v>
      </c>
      <c r="C9" s="96" t="s">
        <v>73</v>
      </c>
      <c r="D9" s="349"/>
      <c r="H9" s="348" t="s">
        <v>57</v>
      </c>
      <c r="I9" s="71">
        <f>984/B9</f>
        <v>4.4026845637583891</v>
      </c>
      <c r="J9" s="327">
        <f t="shared" ref="J9:J14" si="0">12*I9</f>
        <v>52.832214765100673</v>
      </c>
      <c r="K9" s="346" t="s">
        <v>255</v>
      </c>
      <c r="L9" s="329">
        <v>0.91</v>
      </c>
    </row>
    <row r="10" spans="1:12" ht="13.5" thickBot="1" x14ac:dyDescent="0.25">
      <c r="A10" s="62"/>
      <c r="B10" s="151"/>
      <c r="C10" s="347" t="s">
        <v>254</v>
      </c>
      <c r="D10" s="81"/>
      <c r="H10" s="341" t="s">
        <v>54</v>
      </c>
      <c r="I10" s="71">
        <f>3*I13</f>
        <v>3.3020134228187921</v>
      </c>
      <c r="J10" s="327">
        <f t="shared" si="0"/>
        <v>39.624161073825505</v>
      </c>
      <c r="K10" s="346" t="s">
        <v>253</v>
      </c>
      <c r="L10" s="329">
        <v>0.91500000000000004</v>
      </c>
    </row>
    <row r="11" spans="1:12" ht="13.5" thickBot="1" x14ac:dyDescent="0.25">
      <c r="A11" s="62"/>
      <c r="B11" s="345">
        <v>0.25</v>
      </c>
      <c r="C11" s="288" t="s">
        <v>140</v>
      </c>
      <c r="D11" s="81"/>
      <c r="H11" s="341" t="s">
        <v>52</v>
      </c>
      <c r="I11" s="71">
        <f>5*I14</f>
        <v>2.7516778523489931</v>
      </c>
      <c r="J11" s="327">
        <f t="shared" si="0"/>
        <v>33.020134228187914</v>
      </c>
      <c r="K11" s="330" t="s">
        <v>252</v>
      </c>
      <c r="L11" s="329">
        <v>0.92</v>
      </c>
    </row>
    <row r="12" spans="1:12" ht="13.5" thickBot="1" x14ac:dyDescent="0.25">
      <c r="A12" s="62"/>
      <c r="B12" s="345">
        <v>0.25</v>
      </c>
      <c r="C12" s="288" t="s">
        <v>232</v>
      </c>
      <c r="D12" s="81"/>
      <c r="H12" s="344" t="s">
        <v>69</v>
      </c>
      <c r="I12" s="67">
        <f>I9/2</f>
        <v>2.2013422818791946</v>
      </c>
      <c r="J12" s="343">
        <f t="shared" si="0"/>
        <v>26.416107382550337</v>
      </c>
      <c r="K12" s="330" t="s">
        <v>250</v>
      </c>
      <c r="L12" s="329">
        <v>0.92500000000000004</v>
      </c>
    </row>
    <row r="13" spans="1:12" x14ac:dyDescent="0.2">
      <c r="A13" s="62"/>
      <c r="B13" s="342" t="s">
        <v>249</v>
      </c>
      <c r="C13" s="316">
        <v>1.25</v>
      </c>
      <c r="D13" s="81"/>
      <c r="H13" s="341" t="s">
        <v>44</v>
      </c>
      <c r="I13" s="71">
        <f>I12/2</f>
        <v>1.1006711409395973</v>
      </c>
      <c r="J13" s="327">
        <f t="shared" si="0"/>
        <v>13.208053691275168</v>
      </c>
      <c r="K13" s="330" t="s">
        <v>248</v>
      </c>
      <c r="L13" s="329">
        <v>0.93</v>
      </c>
    </row>
    <row r="14" spans="1:12" x14ac:dyDescent="0.2">
      <c r="A14" s="62"/>
      <c r="B14" s="340" t="s">
        <v>247</v>
      </c>
      <c r="C14" s="316">
        <v>1</v>
      </c>
      <c r="D14" s="81"/>
      <c r="H14" s="339" t="s">
        <v>65</v>
      </c>
      <c r="I14" s="128">
        <f>I13/2</f>
        <v>0.55033557046979864</v>
      </c>
      <c r="J14" s="338">
        <f t="shared" si="0"/>
        <v>6.6040268456375841</v>
      </c>
      <c r="K14" s="330" t="s">
        <v>246</v>
      </c>
      <c r="L14" s="329">
        <v>0.93500000000000005</v>
      </c>
    </row>
    <row r="15" spans="1:12" ht="13.5" thickBot="1" x14ac:dyDescent="0.25">
      <c r="A15" s="62"/>
      <c r="B15" s="337" t="s">
        <v>245</v>
      </c>
      <c r="C15" s="316">
        <v>0.75</v>
      </c>
      <c r="D15" s="81"/>
      <c r="E15" s="26"/>
      <c r="F15" s="90" t="s">
        <v>244</v>
      </c>
      <c r="G15" s="89"/>
      <c r="H15" s="336"/>
      <c r="I15" s="335" t="s">
        <v>243</v>
      </c>
      <c r="J15" s="334"/>
      <c r="K15" s="330" t="s">
        <v>242</v>
      </c>
      <c r="L15" s="329">
        <v>0.94699999999999995</v>
      </c>
    </row>
    <row r="16" spans="1:12" x14ac:dyDescent="0.2">
      <c r="A16" s="62"/>
      <c r="B16" s="317" t="s">
        <v>241</v>
      </c>
      <c r="C16" s="316">
        <f>5*C20</f>
        <v>0.625</v>
      </c>
      <c r="D16" s="81"/>
      <c r="E16" s="333" t="s">
        <v>11</v>
      </c>
      <c r="F16" s="332" t="s">
        <v>61</v>
      </c>
      <c r="G16" s="331" t="s">
        <v>60</v>
      </c>
      <c r="H16" s="309" t="s">
        <v>11</v>
      </c>
      <c r="I16" s="71" t="s">
        <v>240</v>
      </c>
      <c r="J16" s="327" t="s">
        <v>239</v>
      </c>
      <c r="K16" s="330" t="s">
        <v>238</v>
      </c>
      <c r="L16" s="329">
        <v>0.96</v>
      </c>
    </row>
    <row r="17" spans="1:12" ht="13.5" thickBot="1" x14ac:dyDescent="0.25">
      <c r="A17" s="62"/>
      <c r="B17" s="317" t="s">
        <v>237</v>
      </c>
      <c r="C17" s="316">
        <v>0.5</v>
      </c>
      <c r="D17" s="81"/>
      <c r="E17" s="328" t="s">
        <v>57</v>
      </c>
      <c r="F17" s="322">
        <f>11810*B28/B9/12</f>
        <v>4.11720730797912</v>
      </c>
      <c r="G17" s="321">
        <f>F17*12</f>
        <v>49.406487695749441</v>
      </c>
      <c r="H17" s="309" t="s">
        <v>176</v>
      </c>
      <c r="I17" s="71">
        <f>0.1*I9</f>
        <v>0.44026845637583895</v>
      </c>
      <c r="J17" s="327">
        <f t="shared" ref="J17:J22" si="1">12*I17</f>
        <v>5.2832214765100671</v>
      </c>
      <c r="K17" s="326" t="s">
        <v>236</v>
      </c>
      <c r="L17" s="325">
        <v>0.97</v>
      </c>
    </row>
    <row r="18" spans="1:12" x14ac:dyDescent="0.2">
      <c r="A18" s="62"/>
      <c r="B18" s="317" t="s">
        <v>235</v>
      </c>
      <c r="C18" s="316">
        <f>3*C20</f>
        <v>0.375</v>
      </c>
      <c r="D18" s="78"/>
      <c r="E18" s="323" t="s">
        <v>54</v>
      </c>
      <c r="F18" s="322">
        <f>F21+F20</f>
        <v>3.08790548098434</v>
      </c>
      <c r="G18" s="321">
        <f>G21+G20</f>
        <v>37.054865771812082</v>
      </c>
      <c r="H18" s="320" t="s">
        <v>173</v>
      </c>
      <c r="I18" s="319">
        <f>0.15*I9</f>
        <v>0.66040268456375839</v>
      </c>
      <c r="J18" s="318">
        <f t="shared" si="1"/>
        <v>7.9248322147651002</v>
      </c>
      <c r="K18" s="2"/>
    </row>
    <row r="19" spans="1:12" x14ac:dyDescent="0.2">
      <c r="A19" s="62"/>
      <c r="B19" s="324" t="s">
        <v>234</v>
      </c>
      <c r="C19" s="316">
        <v>0.25</v>
      </c>
      <c r="D19" s="59"/>
      <c r="E19" s="323" t="s">
        <v>52</v>
      </c>
      <c r="F19" s="322">
        <f>F21/2*5</f>
        <v>2.5732545674869503</v>
      </c>
      <c r="G19" s="321">
        <f>G21/2*5</f>
        <v>30.879054809843399</v>
      </c>
      <c r="H19" s="320" t="s">
        <v>170</v>
      </c>
      <c r="I19" s="319">
        <f>0.2*I9</f>
        <v>0.88053691275167789</v>
      </c>
      <c r="J19" s="318">
        <f t="shared" si="1"/>
        <v>10.566442953020134</v>
      </c>
      <c r="K19" s="2"/>
      <c r="L19" s="158" t="s">
        <v>11</v>
      </c>
    </row>
    <row r="20" spans="1:12" x14ac:dyDescent="0.2">
      <c r="A20" s="62"/>
      <c r="B20" s="317" t="s">
        <v>233</v>
      </c>
      <c r="C20" s="316">
        <v>0.125</v>
      </c>
      <c r="D20" s="59"/>
      <c r="E20" s="315" t="s">
        <v>68</v>
      </c>
      <c r="F20" s="314">
        <f>F17/2</f>
        <v>2.05860365398956</v>
      </c>
      <c r="G20" s="313">
        <f>G17/2</f>
        <v>24.70324384787472</v>
      </c>
      <c r="H20" s="309" t="s">
        <v>166</v>
      </c>
      <c r="I20" s="71">
        <f>0.3*I9</f>
        <v>1.3208053691275168</v>
      </c>
      <c r="J20" s="308">
        <f t="shared" si="1"/>
        <v>15.8496644295302</v>
      </c>
      <c r="K20" s="2"/>
      <c r="L20" s="1" t="s">
        <v>11</v>
      </c>
    </row>
    <row r="21" spans="1:12" ht="13.5" thickBot="1" x14ac:dyDescent="0.25">
      <c r="A21" s="62"/>
      <c r="B21" s="299" t="s">
        <v>11</v>
      </c>
      <c r="C21" s="299"/>
      <c r="D21" s="59"/>
      <c r="E21" s="312" t="s">
        <v>44</v>
      </c>
      <c r="F21" s="311">
        <f>F17/4</f>
        <v>1.02930182699478</v>
      </c>
      <c r="G21" s="310">
        <f>G17/4</f>
        <v>12.35162192393736</v>
      </c>
      <c r="H21" s="309" t="s">
        <v>189</v>
      </c>
      <c r="I21" s="71">
        <f>0.4*I9</f>
        <v>1.7610738255033558</v>
      </c>
      <c r="J21" s="308">
        <f t="shared" si="1"/>
        <v>21.132885906040269</v>
      </c>
      <c r="K21" s="2"/>
    </row>
    <row r="22" spans="1:12" ht="13.5" thickBot="1" x14ac:dyDescent="0.25">
      <c r="A22" s="62"/>
      <c r="B22" s="307" t="s">
        <v>227</v>
      </c>
      <c r="C22" s="298" t="s">
        <v>11</v>
      </c>
      <c r="D22" s="81"/>
      <c r="E22" s="306" t="s">
        <v>232</v>
      </c>
      <c r="F22" s="305">
        <f>11810*B35/B9/12/2</f>
        <v>2.05860365398956</v>
      </c>
      <c r="G22" s="304">
        <f>F22*12</f>
        <v>24.70324384787472</v>
      </c>
      <c r="H22" s="303">
        <v>0.5</v>
      </c>
      <c r="I22" s="10">
        <f>0.5*I9</f>
        <v>2.2013422818791946</v>
      </c>
      <c r="J22" s="302">
        <f t="shared" si="1"/>
        <v>26.416107382550337</v>
      </c>
      <c r="K22" s="2"/>
    </row>
    <row r="23" spans="1:12" x14ac:dyDescent="0.2">
      <c r="A23" s="62"/>
      <c r="B23" s="299" t="s">
        <v>231</v>
      </c>
      <c r="C23" s="298"/>
      <c r="D23" s="2"/>
      <c r="E23" s="26" t="s">
        <v>41</v>
      </c>
      <c r="F23" s="2"/>
      <c r="G23" s="47"/>
      <c r="H23" s="2"/>
      <c r="I23" s="2"/>
      <c r="J23" s="2"/>
      <c r="K23" s="2"/>
    </row>
    <row r="24" spans="1:12" x14ac:dyDescent="0.2">
      <c r="A24" s="62"/>
      <c r="B24" s="294" t="s">
        <v>230</v>
      </c>
      <c r="C24" s="294"/>
      <c r="D24" s="2"/>
      <c r="E24" s="26"/>
      <c r="F24" s="26" t="s">
        <v>229</v>
      </c>
      <c r="G24" s="2"/>
      <c r="H24" s="2"/>
      <c r="I24" s="2"/>
      <c r="J24" s="2"/>
      <c r="K24" s="2"/>
    </row>
    <row r="25" spans="1:12" x14ac:dyDescent="0.2">
      <c r="A25" s="62"/>
      <c r="B25" s="297" t="s">
        <v>221</v>
      </c>
      <c r="C25" s="296">
        <f>F20*12/B11</f>
        <v>98.812975391498881</v>
      </c>
      <c r="D25" s="2"/>
      <c r="E25" s="26" t="s">
        <v>228</v>
      </c>
      <c r="F25" s="26"/>
      <c r="G25" s="2"/>
      <c r="H25" s="2"/>
      <c r="I25" s="2"/>
      <c r="J25" s="2"/>
      <c r="K25" s="2"/>
    </row>
    <row r="26" spans="1:12" x14ac:dyDescent="0.2">
      <c r="A26" s="62"/>
      <c r="B26" s="294" t="s">
        <v>268</v>
      </c>
      <c r="C26" s="294"/>
      <c r="D26" s="2"/>
      <c r="E26" s="2"/>
      <c r="F26" s="2" t="s">
        <v>11</v>
      </c>
      <c r="G26" s="2"/>
      <c r="H26" s="2"/>
      <c r="I26" s="2"/>
      <c r="J26" s="2"/>
      <c r="K26" s="2"/>
    </row>
    <row r="27" spans="1:12" ht="13.5" thickBot="1" x14ac:dyDescent="0.25">
      <c r="A27" s="62"/>
      <c r="B27" s="294" t="s">
        <v>218</v>
      </c>
      <c r="C27" s="293"/>
      <c r="D27" s="2"/>
      <c r="E27" s="2" t="s">
        <v>11</v>
      </c>
      <c r="F27" s="2"/>
      <c r="G27" s="2" t="s">
        <v>11</v>
      </c>
      <c r="H27" s="2" t="s">
        <v>11</v>
      </c>
      <c r="I27" s="2" t="s">
        <v>11</v>
      </c>
      <c r="J27" s="2"/>
      <c r="K27" s="2"/>
    </row>
    <row r="28" spans="1:12" ht="13.5" thickBot="1" x14ac:dyDescent="0.25">
      <c r="A28" s="62"/>
      <c r="B28" s="289">
        <v>0.93500000000000005</v>
      </c>
      <c r="C28" s="288" t="s">
        <v>217</v>
      </c>
      <c r="D28" s="2"/>
      <c r="E28" s="2"/>
      <c r="F28" s="2"/>
      <c r="G28" s="301"/>
      <c r="H28" s="2"/>
      <c r="I28" s="2"/>
      <c r="J28" s="2"/>
      <c r="K28" s="2"/>
    </row>
    <row r="29" spans="1:12" x14ac:dyDescent="0.2">
      <c r="A29" s="62"/>
      <c r="B29" s="307" t="s">
        <v>227</v>
      </c>
      <c r="C29" s="50"/>
      <c r="D29" s="2"/>
      <c r="E29" s="26" t="s">
        <v>36</v>
      </c>
      <c r="F29" s="26" t="s">
        <v>226</v>
      </c>
      <c r="G29" s="2"/>
      <c r="H29" s="2"/>
      <c r="I29" s="244">
        <f>B9</f>
        <v>223.5</v>
      </c>
      <c r="J29" s="2" t="s">
        <v>34</v>
      </c>
      <c r="K29" s="2"/>
    </row>
    <row r="30" spans="1:12" x14ac:dyDescent="0.2">
      <c r="A30" s="62"/>
      <c r="B30" s="299" t="s">
        <v>225</v>
      </c>
      <c r="C30" s="298"/>
      <c r="D30" s="2"/>
      <c r="E30" s="2"/>
      <c r="F30" s="2"/>
      <c r="G30" s="89"/>
      <c r="H30" s="285" t="s">
        <v>224</v>
      </c>
      <c r="I30" s="89">
        <f>B12</f>
        <v>0.25</v>
      </c>
      <c r="J30" s="89" t="s">
        <v>31</v>
      </c>
      <c r="K30" s="89"/>
    </row>
    <row r="31" spans="1:12" x14ac:dyDescent="0.2">
      <c r="A31" s="62"/>
      <c r="B31" s="294" t="s">
        <v>223</v>
      </c>
      <c r="C31" s="294"/>
      <c r="D31" s="2"/>
      <c r="E31" s="2"/>
      <c r="F31" s="2"/>
      <c r="G31" s="11" t="s">
        <v>11</v>
      </c>
      <c r="H31" s="21" t="s">
        <v>11</v>
      </c>
      <c r="I31" s="21" t="s">
        <v>11</v>
      </c>
      <c r="J31" s="89"/>
      <c r="K31" s="89"/>
    </row>
    <row r="32" spans="1:12" x14ac:dyDescent="0.2">
      <c r="A32" s="62"/>
      <c r="B32" s="297" t="s">
        <v>221</v>
      </c>
      <c r="C32" s="296">
        <f>F22*12/B12</f>
        <v>98.812975391498881</v>
      </c>
      <c r="D32" s="2"/>
      <c r="E32" s="40"/>
      <c r="F32" s="17" t="s">
        <v>33</v>
      </c>
      <c r="G32" s="357">
        <f>I32/12</f>
        <v>2.8617449664429526</v>
      </c>
      <c r="H32" s="356" t="s">
        <v>220</v>
      </c>
      <c r="I32" s="285">
        <f>G35+H35+I35+J35</f>
        <v>34.340939597315433</v>
      </c>
      <c r="J32" s="12" t="s">
        <v>31</v>
      </c>
      <c r="K32" s="295"/>
    </row>
    <row r="33" spans="1:12" x14ac:dyDescent="0.2">
      <c r="A33" s="62"/>
      <c r="B33" s="294" t="s">
        <v>268</v>
      </c>
      <c r="C33" s="294"/>
      <c r="D33" s="2"/>
      <c r="E33" s="2"/>
      <c r="F33" s="17" t="s">
        <v>29</v>
      </c>
      <c r="G33" s="166">
        <f>0.04*G22+G22</f>
        <v>25.69137360178971</v>
      </c>
      <c r="H33" s="32">
        <f>G20</f>
        <v>24.70324384787472</v>
      </c>
      <c r="I33" s="160">
        <f>-0.04*G22+G22</f>
        <v>23.71511409395973</v>
      </c>
      <c r="J33" s="160">
        <f>-0.015*I33+I33</f>
        <v>23.359387382550334</v>
      </c>
      <c r="K33" s="160">
        <f>-0.015*J33+J33</f>
        <v>23.00899657181208</v>
      </c>
    </row>
    <row r="34" spans="1:12" ht="13.5" thickBot="1" x14ac:dyDescent="0.25">
      <c r="A34" s="62"/>
      <c r="B34" s="294" t="s">
        <v>218</v>
      </c>
      <c r="C34" s="293"/>
      <c r="D34" s="2"/>
      <c r="E34" s="2"/>
      <c r="F34" s="2"/>
      <c r="G34" s="292" t="s">
        <v>28</v>
      </c>
      <c r="H34" s="292" t="s">
        <v>27</v>
      </c>
      <c r="I34" s="291" t="s">
        <v>26</v>
      </c>
      <c r="J34" s="291" t="s">
        <v>25</v>
      </c>
      <c r="K34" s="290" t="s">
        <v>96</v>
      </c>
    </row>
    <row r="35" spans="1:12" ht="14.25" thickTop="1" thickBot="1" x14ac:dyDescent="0.25">
      <c r="A35" s="62"/>
      <c r="B35" s="289">
        <v>0.93500000000000005</v>
      </c>
      <c r="C35" s="288" t="s">
        <v>217</v>
      </c>
      <c r="D35" s="2"/>
      <c r="E35" s="2"/>
      <c r="F35" s="17" t="s">
        <v>216</v>
      </c>
      <c r="G35" s="165">
        <f>J18</f>
        <v>7.9248322147651002</v>
      </c>
      <c r="H35" s="165">
        <f>J18</f>
        <v>7.9248322147651002</v>
      </c>
      <c r="I35" s="165">
        <f>J18</f>
        <v>7.9248322147651002</v>
      </c>
      <c r="J35" s="32">
        <f>J19</f>
        <v>10.566442953020134</v>
      </c>
      <c r="K35" s="89"/>
      <c r="L35" s="287" t="s">
        <v>11</v>
      </c>
    </row>
    <row r="36" spans="1:12" x14ac:dyDescent="0.2">
      <c r="A36" s="62"/>
      <c r="B36" s="50"/>
      <c r="C36" s="50"/>
      <c r="D36" s="2"/>
      <c r="E36" s="2"/>
      <c r="F36" s="2"/>
      <c r="G36" s="89"/>
      <c r="H36" s="89"/>
      <c r="I36" s="89"/>
      <c r="J36" s="89"/>
      <c r="K36" s="89"/>
    </row>
    <row r="37" spans="1:12" x14ac:dyDescent="0.2">
      <c r="A37" s="51" t="s">
        <v>100</v>
      </c>
      <c r="B37" s="50"/>
      <c r="C37" s="50"/>
      <c r="D37" s="2"/>
      <c r="E37" s="2" t="s">
        <v>215</v>
      </c>
      <c r="F37" s="2"/>
      <c r="G37" s="89"/>
      <c r="H37" s="89"/>
      <c r="I37" s="89"/>
      <c r="J37" s="89"/>
      <c r="K37" s="89"/>
    </row>
    <row r="38" spans="1:12" x14ac:dyDescent="0.2">
      <c r="B38" s="2"/>
      <c r="C38" s="2"/>
      <c r="D38" s="2"/>
      <c r="E38" s="19" t="s">
        <v>214</v>
      </c>
      <c r="F38" s="2"/>
      <c r="G38" s="89"/>
      <c r="H38" s="89"/>
      <c r="I38" s="89"/>
      <c r="J38" s="89"/>
      <c r="K38" s="89"/>
    </row>
    <row r="39" spans="1:12" x14ac:dyDescent="0.2">
      <c r="B39" s="2"/>
      <c r="C39" s="2"/>
      <c r="D39" s="2"/>
      <c r="E39" s="2" t="s">
        <v>213</v>
      </c>
      <c r="F39" s="2"/>
      <c r="G39" s="89"/>
      <c r="H39" s="89"/>
      <c r="I39" s="89"/>
      <c r="J39" s="89"/>
      <c r="K39" s="89"/>
    </row>
    <row r="40" spans="1:12" x14ac:dyDescent="0.2">
      <c r="B40" s="2"/>
      <c r="C40" s="2"/>
      <c r="D40" s="2"/>
      <c r="E40" s="2"/>
      <c r="F40" s="2"/>
      <c r="G40" s="89"/>
      <c r="H40" s="89"/>
      <c r="I40" s="89"/>
      <c r="J40" s="89"/>
      <c r="K40" s="89"/>
    </row>
    <row r="41" spans="1:12" x14ac:dyDescent="0.2">
      <c r="B41" s="2"/>
      <c r="C41" s="2"/>
      <c r="D41" s="2"/>
      <c r="E41" s="22" t="s">
        <v>212</v>
      </c>
      <c r="F41" s="2"/>
      <c r="G41" s="89"/>
      <c r="H41" s="89"/>
      <c r="I41" s="89"/>
      <c r="J41" s="89"/>
      <c r="K41" s="89"/>
    </row>
    <row r="42" spans="1:12" ht="13.5" thickBot="1" x14ac:dyDescent="0.25">
      <c r="B42" s="2"/>
      <c r="C42" s="2"/>
      <c r="D42" s="2"/>
      <c r="E42" s="2"/>
      <c r="F42" s="2"/>
      <c r="G42" s="89"/>
      <c r="H42" s="89"/>
      <c r="I42" s="32">
        <f>H33</f>
        <v>24.70324384787472</v>
      </c>
      <c r="J42" s="89" t="s">
        <v>138</v>
      </c>
      <c r="K42" s="89"/>
    </row>
    <row r="43" spans="1:12" ht="13.5" thickTop="1" x14ac:dyDescent="0.2">
      <c r="B43" s="2"/>
      <c r="C43" s="13" t="s">
        <v>4</v>
      </c>
      <c r="D43" s="13"/>
      <c r="E43" s="19" t="s">
        <v>13</v>
      </c>
      <c r="F43" s="18" t="s">
        <v>12</v>
      </c>
      <c r="G43" s="286"/>
      <c r="H43" s="286"/>
      <c r="I43" s="286" t="s">
        <v>11</v>
      </c>
      <c r="J43" s="286"/>
      <c r="K43" s="89"/>
    </row>
    <row r="44" spans="1:12" x14ac:dyDescent="0.2">
      <c r="B44" s="2"/>
      <c r="C44" s="2"/>
      <c r="D44" s="2"/>
      <c r="E44" s="2"/>
      <c r="F44" s="7" t="s">
        <v>9</v>
      </c>
      <c r="G44" s="12">
        <f>0.007*G17</f>
        <v>0.34584541387024609</v>
      </c>
      <c r="H44" s="89"/>
      <c r="I44" s="285" t="s">
        <v>8</v>
      </c>
      <c r="J44" s="89" t="s">
        <v>211</v>
      </c>
      <c r="K44" s="89"/>
    </row>
    <row r="45" spans="1:12" x14ac:dyDescent="0.2">
      <c r="B45" s="2"/>
      <c r="E45" s="13"/>
      <c r="F45" s="7" t="s">
        <v>210</v>
      </c>
      <c r="G45" s="12">
        <f>0.058*G17</f>
        <v>2.8655762863534675</v>
      </c>
      <c r="H45" s="89"/>
      <c r="I45" s="89" t="s">
        <v>133</v>
      </c>
      <c r="J45" s="89"/>
      <c r="K45" s="89"/>
    </row>
    <row r="46" spans="1:12" x14ac:dyDescent="0.2">
      <c r="B46" s="2"/>
      <c r="C46" s="13" t="s">
        <v>11</v>
      </c>
      <c r="D46" s="13"/>
      <c r="E46" s="2" t="s">
        <v>209</v>
      </c>
      <c r="F46" s="2"/>
      <c r="G46" s="5">
        <f>300/B9*7</f>
        <v>9.3959731543624159</v>
      </c>
      <c r="H46" s="2" t="s">
        <v>2</v>
      </c>
      <c r="I46" s="2"/>
      <c r="J46" s="2"/>
      <c r="K46" s="2"/>
    </row>
    <row r="47" spans="1:12" x14ac:dyDescent="0.2">
      <c r="B47" s="2"/>
      <c r="C47" s="90" t="s">
        <v>128</v>
      </c>
      <c r="D47" s="13"/>
      <c r="E47" s="26" t="s">
        <v>208</v>
      </c>
      <c r="F47" s="2"/>
      <c r="G47" s="2"/>
      <c r="H47" s="2"/>
      <c r="I47" s="2"/>
      <c r="J47" s="2"/>
      <c r="K47" s="2"/>
    </row>
    <row r="48" spans="1:12" x14ac:dyDescent="0.2">
      <c r="B48" s="2"/>
      <c r="C48" s="2"/>
      <c r="D48" s="2"/>
      <c r="E48" s="26" t="s">
        <v>207</v>
      </c>
      <c r="F48" s="2"/>
      <c r="G48" s="2"/>
      <c r="H48" s="2"/>
      <c r="I48" s="2"/>
      <c r="J48" s="2"/>
      <c r="K48" s="2"/>
    </row>
    <row r="49" spans="2:11" x14ac:dyDescent="0.2">
      <c r="B49" s="2"/>
      <c r="C49" s="2"/>
      <c r="D49" s="2"/>
      <c r="E49" s="2"/>
      <c r="F49" s="2"/>
      <c r="G49" s="2"/>
      <c r="H49" s="2"/>
      <c r="I49" s="2"/>
      <c r="J49" s="2"/>
      <c r="K49" s="2"/>
    </row>
    <row r="50" spans="2:11" x14ac:dyDescent="0.2">
      <c r="B50" s="2"/>
      <c r="C50" s="2"/>
      <c r="D50" s="2"/>
      <c r="E50" s="2"/>
      <c r="F50" s="2"/>
      <c r="G50" s="2"/>
      <c r="H50" s="2"/>
      <c r="I50" s="2"/>
      <c r="J50" s="2"/>
      <c r="K50" s="2"/>
    </row>
  </sheetData>
  <pageMargins left="0.5" right="0.5" top="1" bottom="0.75" header="0.5" footer="0.5"/>
  <pageSetup scale="90" orientation="portrait" horizontalDpi="360" verticalDpi="360" r:id="rId1"/>
  <headerFooter alignWithMargins="0">
    <oddHeader>&amp;R&amp;D&amp;F</oddHeader>
  </headerFooter>
  <drawing r:id="rId2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50"/>
  <sheetViews>
    <sheetView workbookViewId="0">
      <selection activeCell="F2" sqref="F2"/>
    </sheetView>
  </sheetViews>
  <sheetFormatPr defaultRowHeight="12.75" x14ac:dyDescent="0.2"/>
  <cols>
    <col min="1" max="1" width="2.7109375" style="1" customWidth="1"/>
    <col min="2" max="3" width="9.140625" style="1"/>
    <col min="4" max="4" width="1.7109375" style="1" customWidth="1"/>
    <col min="5" max="5" width="10.140625" style="1" bestFit="1" customWidth="1"/>
    <col min="6" max="7" width="9.140625" style="1"/>
    <col min="8" max="8" width="10.140625" style="1" bestFit="1" customWidth="1"/>
    <col min="9" max="11" width="9.140625" style="1"/>
    <col min="12" max="12" width="9.85546875" style="1" bestFit="1" customWidth="1"/>
    <col min="13" max="16384" width="9.140625" style="1"/>
  </cols>
  <sheetData>
    <row r="1" spans="1:12" x14ac:dyDescent="0.2">
      <c r="B1" s="2"/>
      <c r="C1" s="2"/>
      <c r="D1" s="2"/>
      <c r="E1" s="2"/>
      <c r="F1" s="2"/>
      <c r="G1" s="2"/>
      <c r="H1" s="2"/>
      <c r="I1" s="2"/>
      <c r="J1" s="2"/>
      <c r="K1" s="2"/>
    </row>
    <row r="2" spans="1:12" ht="30" x14ac:dyDescent="0.4">
      <c r="B2" s="2"/>
      <c r="C2" s="2"/>
      <c r="D2" s="2"/>
      <c r="E2" s="2"/>
      <c r="F2" s="106" t="s">
        <v>320</v>
      </c>
      <c r="G2" s="2"/>
      <c r="H2" s="2"/>
      <c r="I2" s="2"/>
      <c r="J2" s="2"/>
      <c r="K2" s="2"/>
    </row>
    <row r="3" spans="1:12" x14ac:dyDescent="0.2">
      <c r="B3" s="2"/>
      <c r="C3" s="2" t="s">
        <v>11</v>
      </c>
      <c r="D3" s="2"/>
      <c r="E3" s="2"/>
      <c r="F3" s="26"/>
      <c r="G3" s="2"/>
      <c r="H3" s="2"/>
      <c r="I3" s="19" t="s">
        <v>11</v>
      </c>
      <c r="J3" s="2"/>
      <c r="K3" s="2"/>
    </row>
    <row r="4" spans="1:12" x14ac:dyDescent="0.2">
      <c r="B4" s="2" t="s">
        <v>11</v>
      </c>
      <c r="C4" s="2" t="s">
        <v>11</v>
      </c>
      <c r="D4" s="2"/>
      <c r="E4" s="102" t="s">
        <v>274</v>
      </c>
      <c r="F4" s="2"/>
      <c r="G4" s="2"/>
      <c r="H4" s="2"/>
      <c r="I4" s="2"/>
      <c r="J4" s="2"/>
      <c r="K4" s="13" t="s">
        <v>11</v>
      </c>
    </row>
    <row r="5" spans="1:12" x14ac:dyDescent="0.2">
      <c r="B5" s="2"/>
      <c r="C5" s="2"/>
      <c r="D5" s="2"/>
      <c r="E5" s="102"/>
      <c r="F5" s="2"/>
      <c r="G5" s="2"/>
      <c r="H5" s="2"/>
      <c r="I5" s="2"/>
      <c r="J5" s="2"/>
      <c r="K5" s="90" t="s">
        <v>261</v>
      </c>
    </row>
    <row r="6" spans="1:12" x14ac:dyDescent="0.2">
      <c r="B6" s="100" t="s">
        <v>11</v>
      </c>
      <c r="C6" s="2"/>
      <c r="D6" s="81"/>
      <c r="H6" s="2"/>
      <c r="I6" s="90" t="s">
        <v>260</v>
      </c>
      <c r="J6" s="2"/>
      <c r="K6" s="90" t="s">
        <v>121</v>
      </c>
      <c r="L6" s="26" t="s">
        <v>259</v>
      </c>
    </row>
    <row r="7" spans="1:12" ht="13.5" thickBot="1" x14ac:dyDescent="0.25">
      <c r="A7" s="62"/>
      <c r="B7" s="355" t="s">
        <v>270</v>
      </c>
      <c r="C7" s="50"/>
      <c r="D7" s="81"/>
      <c r="H7" s="43"/>
      <c r="I7" s="90" t="s">
        <v>77</v>
      </c>
      <c r="J7" s="2"/>
      <c r="K7" s="90" t="s">
        <v>257</v>
      </c>
      <c r="L7" s="26" t="s">
        <v>217</v>
      </c>
    </row>
    <row r="8" spans="1:12" ht="13.5" thickBot="1" x14ac:dyDescent="0.25">
      <c r="A8" s="62"/>
      <c r="B8" s="151" t="s">
        <v>269</v>
      </c>
      <c r="C8" s="50"/>
      <c r="D8" s="81"/>
      <c r="H8" s="353"/>
      <c r="I8" s="352" t="s">
        <v>61</v>
      </c>
      <c r="J8" s="352" t="s">
        <v>60</v>
      </c>
      <c r="K8" s="351" t="s">
        <v>256</v>
      </c>
      <c r="L8" s="350">
        <v>0.9</v>
      </c>
    </row>
    <row r="9" spans="1:12" ht="13.5" thickBot="1" x14ac:dyDescent="0.25">
      <c r="A9" s="62"/>
      <c r="B9" s="289">
        <v>144.19999999999999</v>
      </c>
      <c r="C9" s="96" t="s">
        <v>73</v>
      </c>
      <c r="D9" s="349"/>
      <c r="H9" s="348" t="s">
        <v>57</v>
      </c>
      <c r="I9" s="71">
        <f>984/B9</f>
        <v>6.8238557558945914</v>
      </c>
      <c r="J9" s="327">
        <f t="shared" ref="J9:J14" si="0">12*I9</f>
        <v>81.886269070735096</v>
      </c>
      <c r="K9" s="346" t="s">
        <v>255</v>
      </c>
      <c r="L9" s="329">
        <v>0.91</v>
      </c>
    </row>
    <row r="10" spans="1:12" ht="13.5" thickBot="1" x14ac:dyDescent="0.25">
      <c r="A10" s="62"/>
      <c r="B10" s="151"/>
      <c r="C10" s="347" t="s">
        <v>254</v>
      </c>
      <c r="D10" s="81"/>
      <c r="H10" s="341" t="s">
        <v>54</v>
      </c>
      <c r="I10" s="71">
        <f>3*I13</f>
        <v>5.1178918169209435</v>
      </c>
      <c r="J10" s="327">
        <f t="shared" si="0"/>
        <v>61.414701803051322</v>
      </c>
      <c r="K10" s="346" t="s">
        <v>253</v>
      </c>
      <c r="L10" s="329">
        <v>0.91500000000000004</v>
      </c>
    </row>
    <row r="11" spans="1:12" ht="13.5" thickBot="1" x14ac:dyDescent="0.25">
      <c r="A11" s="62"/>
      <c r="B11" s="345">
        <v>0.25</v>
      </c>
      <c r="C11" s="288" t="s">
        <v>10</v>
      </c>
      <c r="D11" s="81"/>
      <c r="H11" s="341" t="s">
        <v>52</v>
      </c>
      <c r="I11" s="71">
        <f>5*I14</f>
        <v>4.2649098474341196</v>
      </c>
      <c r="J11" s="327">
        <f t="shared" si="0"/>
        <v>51.178918169209439</v>
      </c>
      <c r="K11" s="330" t="s">
        <v>252</v>
      </c>
      <c r="L11" s="329">
        <v>0.92</v>
      </c>
    </row>
    <row r="12" spans="1:12" ht="13.5" thickBot="1" x14ac:dyDescent="0.25">
      <c r="A12" s="62"/>
      <c r="B12" s="345">
        <v>0.25</v>
      </c>
      <c r="C12" s="288" t="s">
        <v>273</v>
      </c>
      <c r="D12" s="81"/>
      <c r="H12" s="344" t="s">
        <v>69</v>
      </c>
      <c r="I12" s="67">
        <f>I9/2</f>
        <v>3.4119278779472957</v>
      </c>
      <c r="J12" s="343">
        <f t="shared" si="0"/>
        <v>40.943134535367548</v>
      </c>
      <c r="K12" s="330" t="s">
        <v>250</v>
      </c>
      <c r="L12" s="329">
        <v>0.92500000000000004</v>
      </c>
    </row>
    <row r="13" spans="1:12" x14ac:dyDescent="0.2">
      <c r="A13" s="62"/>
      <c r="B13" s="342" t="s">
        <v>249</v>
      </c>
      <c r="C13" s="316">
        <v>1.25</v>
      </c>
      <c r="D13" s="81"/>
      <c r="H13" s="341" t="s">
        <v>44</v>
      </c>
      <c r="I13" s="71">
        <f>I12/2</f>
        <v>1.7059639389736478</v>
      </c>
      <c r="J13" s="327">
        <f t="shared" si="0"/>
        <v>20.471567267683774</v>
      </c>
      <c r="K13" s="330" t="s">
        <v>248</v>
      </c>
      <c r="L13" s="329">
        <v>0.93</v>
      </c>
    </row>
    <row r="14" spans="1:12" x14ac:dyDescent="0.2">
      <c r="A14" s="62"/>
      <c r="B14" s="340" t="s">
        <v>247</v>
      </c>
      <c r="C14" s="316">
        <v>1</v>
      </c>
      <c r="D14" s="81"/>
      <c r="H14" s="339" t="s">
        <v>65</v>
      </c>
      <c r="I14" s="128">
        <f>I13/2</f>
        <v>0.85298196948682392</v>
      </c>
      <c r="J14" s="338">
        <f t="shared" si="0"/>
        <v>10.235783633841887</v>
      </c>
      <c r="K14" s="330" t="s">
        <v>246</v>
      </c>
      <c r="L14" s="329">
        <v>0.93500000000000005</v>
      </c>
    </row>
    <row r="15" spans="1:12" ht="13.5" thickBot="1" x14ac:dyDescent="0.25">
      <c r="A15" s="62"/>
      <c r="B15" s="337" t="s">
        <v>245</v>
      </c>
      <c r="C15" s="316">
        <v>0.75</v>
      </c>
      <c r="D15" s="81"/>
      <c r="E15" s="26"/>
      <c r="F15" s="90" t="s">
        <v>244</v>
      </c>
      <c r="G15" s="89"/>
      <c r="H15" s="336"/>
      <c r="I15" s="335" t="s">
        <v>243</v>
      </c>
      <c r="J15" s="334"/>
      <c r="K15" s="330" t="s">
        <v>242</v>
      </c>
      <c r="L15" s="329">
        <v>0.94699999999999995</v>
      </c>
    </row>
    <row r="16" spans="1:12" x14ac:dyDescent="0.2">
      <c r="A16" s="62"/>
      <c r="B16" s="317" t="s">
        <v>241</v>
      </c>
      <c r="C16" s="316">
        <f>5*C20</f>
        <v>0.625</v>
      </c>
      <c r="D16" s="81"/>
      <c r="E16" s="333" t="s">
        <v>11</v>
      </c>
      <c r="F16" s="332" t="s">
        <v>61</v>
      </c>
      <c r="G16" s="331" t="s">
        <v>60</v>
      </c>
      <c r="H16" s="309" t="s">
        <v>11</v>
      </c>
      <c r="I16" s="71" t="s">
        <v>240</v>
      </c>
      <c r="J16" s="327" t="s">
        <v>239</v>
      </c>
      <c r="K16" s="330" t="s">
        <v>238</v>
      </c>
      <c r="L16" s="329">
        <v>0.96</v>
      </c>
    </row>
    <row r="17" spans="1:12" ht="13.5" thickBot="1" x14ac:dyDescent="0.25">
      <c r="A17" s="62"/>
      <c r="B17" s="317" t="s">
        <v>237</v>
      </c>
      <c r="C17" s="316">
        <v>0.5</v>
      </c>
      <c r="D17" s="81"/>
      <c r="E17" s="328" t="s">
        <v>57</v>
      </c>
      <c r="F17" s="322">
        <f>11810*B28/B9/12</f>
        <v>6.4155108645399919</v>
      </c>
      <c r="G17" s="321">
        <f>F17*12</f>
        <v>76.986130374479899</v>
      </c>
      <c r="H17" s="309" t="s">
        <v>176</v>
      </c>
      <c r="I17" s="71">
        <f>0.1*I9</f>
        <v>0.68238557558945923</v>
      </c>
      <c r="J17" s="327">
        <f t="shared" ref="J17:J22" si="1">12*I17</f>
        <v>8.1886269070735107</v>
      </c>
      <c r="K17" s="326" t="s">
        <v>236</v>
      </c>
      <c r="L17" s="325">
        <v>0.97</v>
      </c>
    </row>
    <row r="18" spans="1:12" x14ac:dyDescent="0.2">
      <c r="A18" s="62"/>
      <c r="B18" s="317" t="s">
        <v>235</v>
      </c>
      <c r="C18" s="316">
        <f>3*C20</f>
        <v>0.375</v>
      </c>
      <c r="D18" s="78"/>
      <c r="E18" s="323" t="s">
        <v>54</v>
      </c>
      <c r="F18" s="322">
        <f>F21+F20</f>
        <v>4.8116331484049937</v>
      </c>
      <c r="G18" s="321">
        <f>G21+G20</f>
        <v>57.739597780859924</v>
      </c>
      <c r="H18" s="320" t="s">
        <v>173</v>
      </c>
      <c r="I18" s="319">
        <f>0.15*I9</f>
        <v>1.0235783633841886</v>
      </c>
      <c r="J18" s="318">
        <f t="shared" si="1"/>
        <v>12.282940360610263</v>
      </c>
      <c r="K18" s="2"/>
    </row>
    <row r="19" spans="1:12" x14ac:dyDescent="0.2">
      <c r="A19" s="62"/>
      <c r="B19" s="324" t="s">
        <v>234</v>
      </c>
      <c r="C19" s="316">
        <v>0.25</v>
      </c>
      <c r="D19" s="59"/>
      <c r="E19" s="323" t="s">
        <v>52</v>
      </c>
      <c r="F19" s="322">
        <f>F21/2*5</f>
        <v>4.009694290337495</v>
      </c>
      <c r="G19" s="321">
        <f>G21/2*5</f>
        <v>48.116331484049937</v>
      </c>
      <c r="H19" s="320" t="s">
        <v>170</v>
      </c>
      <c r="I19" s="319">
        <f>0.2*I9</f>
        <v>1.3647711511789185</v>
      </c>
      <c r="J19" s="318">
        <f t="shared" si="1"/>
        <v>16.377253814147021</v>
      </c>
      <c r="K19" s="2"/>
      <c r="L19" s="158" t="s">
        <v>11</v>
      </c>
    </row>
    <row r="20" spans="1:12" x14ac:dyDescent="0.2">
      <c r="A20" s="62"/>
      <c r="B20" s="317" t="s">
        <v>233</v>
      </c>
      <c r="C20" s="316">
        <v>0.125</v>
      </c>
      <c r="D20" s="59"/>
      <c r="E20" s="315" t="s">
        <v>68</v>
      </c>
      <c r="F20" s="314">
        <f>F17/2</f>
        <v>3.2077554322699959</v>
      </c>
      <c r="G20" s="313">
        <f>G17/2</f>
        <v>38.493065187239949</v>
      </c>
      <c r="H20" s="309" t="s">
        <v>166</v>
      </c>
      <c r="I20" s="71">
        <f>0.3*I9</f>
        <v>2.0471567267683772</v>
      </c>
      <c r="J20" s="308">
        <f t="shared" si="1"/>
        <v>24.565880721220527</v>
      </c>
      <c r="K20" s="2"/>
      <c r="L20" s="1" t="s">
        <v>11</v>
      </c>
    </row>
    <row r="21" spans="1:12" ht="13.5" thickBot="1" x14ac:dyDescent="0.25">
      <c r="A21" s="62"/>
      <c r="B21" s="299" t="s">
        <v>11</v>
      </c>
      <c r="C21" s="299"/>
      <c r="D21" s="59"/>
      <c r="E21" s="312" t="s">
        <v>44</v>
      </c>
      <c r="F21" s="311">
        <f>F17/4</f>
        <v>1.603877716134998</v>
      </c>
      <c r="G21" s="310">
        <f>G17/4</f>
        <v>19.246532593619975</v>
      </c>
      <c r="H21" s="309" t="s">
        <v>189</v>
      </c>
      <c r="I21" s="71">
        <f>0.4*I9</f>
        <v>2.7295423023578369</v>
      </c>
      <c r="J21" s="308">
        <f t="shared" si="1"/>
        <v>32.754507628294043</v>
      </c>
      <c r="K21" s="2"/>
    </row>
    <row r="22" spans="1:12" ht="13.5" thickBot="1" x14ac:dyDescent="0.25">
      <c r="A22" s="62"/>
      <c r="B22" s="307" t="s">
        <v>227</v>
      </c>
      <c r="C22" s="298" t="s">
        <v>11</v>
      </c>
      <c r="D22" s="81"/>
      <c r="E22" s="306" t="s">
        <v>232</v>
      </c>
      <c r="F22" s="305">
        <f>11810*B35/B9/12/2</f>
        <v>3.2077554322699959</v>
      </c>
      <c r="G22" s="304">
        <f>F22*12</f>
        <v>38.493065187239949</v>
      </c>
      <c r="H22" s="303">
        <v>0.5</v>
      </c>
      <c r="I22" s="10">
        <f>0.5*I9</f>
        <v>3.4119278779472957</v>
      </c>
      <c r="J22" s="302">
        <f t="shared" si="1"/>
        <v>40.943134535367548</v>
      </c>
      <c r="K22" s="2"/>
    </row>
    <row r="23" spans="1:12" x14ac:dyDescent="0.2">
      <c r="A23" s="62"/>
      <c r="B23" s="299" t="s">
        <v>231</v>
      </c>
      <c r="C23" s="298"/>
      <c r="D23" s="2"/>
      <c r="E23" s="26" t="s">
        <v>41</v>
      </c>
      <c r="F23" s="2"/>
      <c r="G23" s="47"/>
      <c r="H23" s="2"/>
      <c r="I23" s="2"/>
      <c r="J23" s="2"/>
      <c r="K23" s="2"/>
    </row>
    <row r="24" spans="1:12" x14ac:dyDescent="0.2">
      <c r="A24" s="62"/>
      <c r="B24" s="294" t="s">
        <v>230</v>
      </c>
      <c r="C24" s="294"/>
      <c r="D24" s="2"/>
      <c r="E24" s="26"/>
      <c r="F24" s="26" t="s">
        <v>229</v>
      </c>
      <c r="G24" s="2"/>
      <c r="H24" s="2"/>
      <c r="I24" s="2"/>
      <c r="J24" s="2"/>
      <c r="K24" s="2"/>
    </row>
    <row r="25" spans="1:12" x14ac:dyDescent="0.2">
      <c r="A25" s="62"/>
      <c r="B25" s="297" t="s">
        <v>221</v>
      </c>
      <c r="C25" s="296">
        <f>F20*12/B11</f>
        <v>153.9722607489598</v>
      </c>
      <c r="D25" s="2"/>
      <c r="E25" s="26" t="s">
        <v>228</v>
      </c>
      <c r="F25" s="26"/>
      <c r="G25" s="2"/>
      <c r="H25" s="2"/>
      <c r="I25" s="2"/>
      <c r="J25" s="2"/>
      <c r="K25" s="2"/>
    </row>
    <row r="26" spans="1:12" x14ac:dyDescent="0.2">
      <c r="A26" s="62"/>
      <c r="B26" s="294" t="s">
        <v>268</v>
      </c>
      <c r="C26" s="294"/>
      <c r="D26" s="2"/>
      <c r="E26" s="2"/>
      <c r="F26" s="2" t="s">
        <v>11</v>
      </c>
      <c r="G26" s="2"/>
      <c r="H26" s="2"/>
      <c r="I26" s="2"/>
      <c r="J26" s="2"/>
      <c r="K26" s="2"/>
    </row>
    <row r="27" spans="1:12" ht="13.5" thickBot="1" x14ac:dyDescent="0.25">
      <c r="A27" s="62"/>
      <c r="B27" s="294" t="s">
        <v>218</v>
      </c>
      <c r="C27" s="293"/>
      <c r="D27" s="2"/>
      <c r="E27" s="2" t="s">
        <v>11</v>
      </c>
      <c r="F27" s="2"/>
      <c r="G27" s="2" t="s">
        <v>11</v>
      </c>
      <c r="H27" s="2" t="s">
        <v>11</v>
      </c>
      <c r="I27" s="2" t="s">
        <v>11</v>
      </c>
      <c r="J27" s="2"/>
      <c r="K27" s="2"/>
    </row>
    <row r="28" spans="1:12" ht="13.5" thickBot="1" x14ac:dyDescent="0.25">
      <c r="A28" s="62"/>
      <c r="B28" s="289">
        <v>0.94</v>
      </c>
      <c r="C28" s="288" t="s">
        <v>217</v>
      </c>
      <c r="D28" s="2"/>
      <c r="E28" s="2"/>
      <c r="F28" s="2"/>
      <c r="G28" s="301"/>
      <c r="H28" s="2"/>
      <c r="I28" s="2"/>
      <c r="J28" s="2"/>
      <c r="K28" s="2"/>
    </row>
    <row r="29" spans="1:12" x14ac:dyDescent="0.2">
      <c r="A29" s="62"/>
      <c r="B29" s="300" t="s">
        <v>227</v>
      </c>
      <c r="C29" s="50"/>
      <c r="D29" s="2"/>
      <c r="E29" s="26" t="s">
        <v>36</v>
      </c>
      <c r="F29" s="26" t="s">
        <v>226</v>
      </c>
      <c r="G29" s="2"/>
      <c r="H29" s="2"/>
      <c r="I29" s="244">
        <f>B9</f>
        <v>144.19999999999999</v>
      </c>
      <c r="J29" s="2" t="s">
        <v>34</v>
      </c>
      <c r="K29" s="2"/>
    </row>
    <row r="30" spans="1:12" x14ac:dyDescent="0.2">
      <c r="A30" s="62"/>
      <c r="B30" s="299" t="s">
        <v>225</v>
      </c>
      <c r="C30" s="298"/>
      <c r="D30" s="2"/>
      <c r="E30" s="2"/>
      <c r="F30" s="2"/>
      <c r="G30" s="89"/>
      <c r="H30" s="285" t="s">
        <v>224</v>
      </c>
      <c r="I30" s="89">
        <f>B12</f>
        <v>0.25</v>
      </c>
      <c r="J30" s="89" t="s">
        <v>31</v>
      </c>
      <c r="K30" s="89"/>
    </row>
    <row r="31" spans="1:12" x14ac:dyDescent="0.2">
      <c r="A31" s="62"/>
      <c r="B31" s="294" t="s">
        <v>223</v>
      </c>
      <c r="C31" s="294"/>
      <c r="D31" s="2"/>
      <c r="E31" s="2"/>
      <c r="F31" s="2"/>
      <c r="G31" s="11" t="s">
        <v>11</v>
      </c>
      <c r="H31" s="21" t="s">
        <v>11</v>
      </c>
      <c r="I31" s="21" t="s">
        <v>11</v>
      </c>
      <c r="J31" s="89"/>
      <c r="K31" s="89"/>
    </row>
    <row r="32" spans="1:12" x14ac:dyDescent="0.2">
      <c r="A32" s="62"/>
      <c r="B32" s="297" t="s">
        <v>221</v>
      </c>
      <c r="C32" s="296">
        <f>F22*12/B12</f>
        <v>153.9722607489598</v>
      </c>
      <c r="D32" s="2"/>
      <c r="E32" s="40"/>
      <c r="F32" s="17" t="s">
        <v>33</v>
      </c>
      <c r="G32" s="216">
        <f>I32/12</f>
        <v>4.4355062413314847</v>
      </c>
      <c r="H32" s="27" t="s">
        <v>220</v>
      </c>
      <c r="I32" s="285">
        <f>G35+H35+I35+J35</f>
        <v>53.226074895977817</v>
      </c>
      <c r="J32" s="28" t="s">
        <v>31</v>
      </c>
      <c r="K32" s="295"/>
    </row>
    <row r="33" spans="1:12" x14ac:dyDescent="0.2">
      <c r="A33" s="62"/>
      <c r="B33" s="294" t="s">
        <v>268</v>
      </c>
      <c r="C33" s="294"/>
      <c r="D33" s="2"/>
      <c r="E33" s="2"/>
      <c r="F33" s="17" t="s">
        <v>29</v>
      </c>
      <c r="G33" s="166">
        <f>0.04*G22+G22</f>
        <v>40.032787794729551</v>
      </c>
      <c r="H33" s="32">
        <f>G20</f>
        <v>38.493065187239949</v>
      </c>
      <c r="I33" s="160">
        <f>-0.04*G22+G22</f>
        <v>36.953342579750348</v>
      </c>
      <c r="J33" s="160">
        <f>-0.015*I33+I33</f>
        <v>36.399042441054092</v>
      </c>
      <c r="K33" s="160">
        <f>-0.015*J33+J33</f>
        <v>35.853056804438282</v>
      </c>
    </row>
    <row r="34" spans="1:12" ht="13.5" thickBot="1" x14ac:dyDescent="0.25">
      <c r="A34" s="62"/>
      <c r="B34" s="294" t="s">
        <v>218</v>
      </c>
      <c r="C34" s="293"/>
      <c r="D34" s="2"/>
      <c r="E34" s="2"/>
      <c r="F34" s="2"/>
      <c r="G34" s="292" t="s">
        <v>28</v>
      </c>
      <c r="H34" s="292" t="s">
        <v>27</v>
      </c>
      <c r="I34" s="291" t="s">
        <v>26</v>
      </c>
      <c r="J34" s="291" t="s">
        <v>25</v>
      </c>
      <c r="K34" s="290" t="s">
        <v>96</v>
      </c>
    </row>
    <row r="35" spans="1:12" ht="14.25" thickTop="1" thickBot="1" x14ac:dyDescent="0.25">
      <c r="A35" s="62"/>
      <c r="B35" s="289">
        <v>0.94</v>
      </c>
      <c r="C35" s="288" t="s">
        <v>217</v>
      </c>
      <c r="D35" s="2"/>
      <c r="E35" s="2"/>
      <c r="F35" s="17" t="s">
        <v>216</v>
      </c>
      <c r="G35" s="165">
        <f>J18</f>
        <v>12.282940360610263</v>
      </c>
      <c r="H35" s="165">
        <f>J18</f>
        <v>12.282940360610263</v>
      </c>
      <c r="I35" s="165">
        <f>J18</f>
        <v>12.282940360610263</v>
      </c>
      <c r="J35" s="32">
        <f>J19</f>
        <v>16.377253814147021</v>
      </c>
      <c r="K35" s="89"/>
      <c r="L35" s="287" t="s">
        <v>11</v>
      </c>
    </row>
    <row r="36" spans="1:12" x14ac:dyDescent="0.2">
      <c r="A36" s="51" t="s">
        <v>272</v>
      </c>
      <c r="B36" s="50"/>
      <c r="C36" s="50"/>
      <c r="D36" s="2"/>
      <c r="E36" s="2"/>
      <c r="F36" s="2"/>
      <c r="G36" s="89"/>
      <c r="H36" s="89"/>
      <c r="I36" s="89"/>
      <c r="J36" s="89"/>
      <c r="K36" s="89"/>
    </row>
    <row r="37" spans="1:12" x14ac:dyDescent="0.2">
      <c r="B37" s="2"/>
      <c r="C37" s="2"/>
      <c r="D37" s="2"/>
      <c r="E37" s="2" t="s">
        <v>215</v>
      </c>
      <c r="F37" s="2"/>
      <c r="G37" s="89"/>
      <c r="H37" s="89"/>
      <c r="I37" s="89"/>
      <c r="J37" s="89"/>
      <c r="K37" s="89"/>
    </row>
    <row r="38" spans="1:12" x14ac:dyDescent="0.2">
      <c r="B38" s="2"/>
      <c r="C38" s="2"/>
      <c r="D38" s="2"/>
      <c r="E38" s="19" t="s">
        <v>214</v>
      </c>
      <c r="F38" s="2"/>
      <c r="G38" s="89"/>
      <c r="H38" s="89"/>
      <c r="I38" s="89"/>
      <c r="J38" s="89"/>
      <c r="K38" s="89"/>
    </row>
    <row r="39" spans="1:12" x14ac:dyDescent="0.2">
      <c r="B39" s="2"/>
      <c r="C39" s="2"/>
      <c r="D39" s="2"/>
      <c r="E39" s="2" t="s">
        <v>213</v>
      </c>
      <c r="F39" s="2"/>
      <c r="G39" s="89"/>
      <c r="H39" s="89"/>
      <c r="I39" s="89"/>
      <c r="J39" s="89"/>
      <c r="K39" s="89"/>
    </row>
    <row r="40" spans="1:12" x14ac:dyDescent="0.2">
      <c r="B40" s="2"/>
      <c r="C40" s="2"/>
      <c r="D40" s="2"/>
      <c r="E40" s="2"/>
      <c r="F40" s="2"/>
      <c r="G40" s="89"/>
      <c r="H40" s="89"/>
      <c r="I40" s="89"/>
      <c r="J40" s="89"/>
      <c r="K40" s="89"/>
    </row>
    <row r="41" spans="1:12" x14ac:dyDescent="0.2">
      <c r="B41" s="2"/>
      <c r="C41" s="2"/>
      <c r="D41" s="2"/>
      <c r="E41" s="22" t="s">
        <v>212</v>
      </c>
      <c r="F41" s="2"/>
      <c r="G41" s="89"/>
      <c r="H41" s="89"/>
      <c r="I41" s="89"/>
      <c r="J41" s="89"/>
      <c r="K41" s="89"/>
    </row>
    <row r="42" spans="1:12" ht="13.5" thickBot="1" x14ac:dyDescent="0.25">
      <c r="B42" s="2"/>
      <c r="C42" s="2"/>
      <c r="D42" s="2"/>
      <c r="E42" s="2"/>
      <c r="F42" s="2"/>
      <c r="G42" s="89"/>
      <c r="H42" s="89"/>
      <c r="I42" s="32">
        <f>H33</f>
        <v>38.493065187239949</v>
      </c>
      <c r="J42" s="89" t="s">
        <v>138</v>
      </c>
      <c r="K42" s="89"/>
    </row>
    <row r="43" spans="1:12" ht="13.5" thickTop="1" x14ac:dyDescent="0.2">
      <c r="B43" s="2"/>
      <c r="C43" s="13" t="s">
        <v>4</v>
      </c>
      <c r="D43" s="13"/>
      <c r="E43" s="19" t="s">
        <v>13</v>
      </c>
      <c r="F43" s="18" t="s">
        <v>12</v>
      </c>
      <c r="G43" s="286"/>
      <c r="H43" s="286"/>
      <c r="I43" s="286" t="s">
        <v>11</v>
      </c>
      <c r="J43" s="286"/>
      <c r="K43" s="89"/>
    </row>
    <row r="44" spans="1:12" x14ac:dyDescent="0.2">
      <c r="B44" s="2"/>
      <c r="C44" s="2"/>
      <c r="D44" s="2"/>
      <c r="E44" s="2"/>
      <c r="F44" s="7" t="s">
        <v>9</v>
      </c>
      <c r="G44" s="12">
        <f>0.007*G17</f>
        <v>0.53890291262135925</v>
      </c>
      <c r="H44" s="89"/>
      <c r="I44" s="285" t="s">
        <v>8</v>
      </c>
      <c r="J44" s="89" t="s">
        <v>211</v>
      </c>
      <c r="K44" s="89"/>
    </row>
    <row r="45" spans="1:12" x14ac:dyDescent="0.2">
      <c r="B45" s="2"/>
      <c r="E45" s="13"/>
      <c r="F45" s="7" t="s">
        <v>210</v>
      </c>
      <c r="G45" s="12">
        <f>0.058*G17</f>
        <v>4.4651955617198347</v>
      </c>
      <c r="H45" s="89"/>
      <c r="I45" s="89" t="s">
        <v>133</v>
      </c>
      <c r="J45" s="89"/>
      <c r="K45" s="89"/>
    </row>
    <row r="46" spans="1:12" x14ac:dyDescent="0.2">
      <c r="B46" s="2"/>
      <c r="C46" s="13" t="s">
        <v>11</v>
      </c>
      <c r="D46" s="13"/>
      <c r="E46" s="2" t="s">
        <v>209</v>
      </c>
      <c r="F46" s="2"/>
      <c r="G46" s="5">
        <f>300/B9*7</f>
        <v>14.563106796116504</v>
      </c>
      <c r="H46" s="2" t="s">
        <v>2</v>
      </c>
      <c r="I46" s="2"/>
      <c r="J46" s="2"/>
      <c r="K46" s="2"/>
    </row>
    <row r="47" spans="1:12" x14ac:dyDescent="0.2">
      <c r="B47" s="2"/>
      <c r="C47" s="90" t="s">
        <v>128</v>
      </c>
      <c r="D47" s="13"/>
      <c r="E47" s="26" t="s">
        <v>208</v>
      </c>
      <c r="F47" s="2"/>
      <c r="G47" s="2"/>
      <c r="H47" s="2"/>
      <c r="I47" s="2"/>
      <c r="J47" s="2"/>
      <c r="K47" s="2"/>
    </row>
    <row r="48" spans="1:12" x14ac:dyDescent="0.2">
      <c r="B48" s="2"/>
      <c r="C48" s="2"/>
      <c r="D48" s="2"/>
      <c r="E48" s="26" t="s">
        <v>207</v>
      </c>
      <c r="F48" s="2"/>
      <c r="G48" s="2"/>
      <c r="H48" s="2"/>
      <c r="I48" s="2"/>
      <c r="J48" s="2"/>
      <c r="K48" s="2"/>
    </row>
    <row r="49" spans="2:11" x14ac:dyDescent="0.2">
      <c r="B49" s="2"/>
      <c r="C49" s="2"/>
      <c r="D49" s="2"/>
      <c r="E49" s="2"/>
      <c r="F49" s="2"/>
      <c r="G49" s="2"/>
      <c r="H49" s="2"/>
      <c r="I49" s="2"/>
      <c r="J49" s="2"/>
      <c r="K49" s="2"/>
    </row>
    <row r="50" spans="2:11" x14ac:dyDescent="0.2">
      <c r="B50" s="2"/>
      <c r="C50" s="2"/>
      <c r="D50" s="2"/>
      <c r="E50" s="2"/>
      <c r="F50" s="2"/>
      <c r="G50" s="2"/>
      <c r="H50" s="2"/>
      <c r="I50" s="2"/>
      <c r="J50" s="2"/>
      <c r="K50" s="2"/>
    </row>
  </sheetData>
  <pageMargins left="0.5" right="0.5" top="1" bottom="0.75" header="0.5" footer="0.5"/>
  <pageSetup scale="90" orientation="portrait" horizontalDpi="360" verticalDpi="360" r:id="rId1"/>
  <headerFooter alignWithMargins="0">
    <oddHeader>&amp;R&amp;D&amp;F</oddHeader>
  </headerFooter>
  <drawing r:id="rId2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50"/>
  <sheetViews>
    <sheetView topLeftCell="A3" workbookViewId="0">
      <selection activeCell="Z51" sqref="Z51"/>
    </sheetView>
  </sheetViews>
  <sheetFormatPr defaultRowHeight="12.75" x14ac:dyDescent="0.2"/>
  <cols>
    <col min="1" max="1" width="4.7109375" style="1" customWidth="1"/>
    <col min="2" max="3" width="9.140625" style="1"/>
    <col min="4" max="4" width="1.7109375" style="1" customWidth="1"/>
    <col min="5" max="5" width="10.140625" style="1" bestFit="1" customWidth="1"/>
    <col min="6" max="7" width="9.140625" style="1"/>
    <col min="8" max="8" width="10.140625" style="1" bestFit="1" customWidth="1"/>
    <col min="9" max="11" width="9.140625" style="1"/>
    <col min="12" max="12" width="9.85546875" style="1" bestFit="1" customWidth="1"/>
    <col min="13" max="16384" width="9.140625" style="1"/>
  </cols>
  <sheetData>
    <row r="1" spans="1:12" x14ac:dyDescent="0.2">
      <c r="B1" s="2"/>
      <c r="C1" s="2"/>
      <c r="D1" s="2"/>
      <c r="E1" s="2"/>
      <c r="F1" s="2"/>
      <c r="G1" s="2"/>
      <c r="H1" s="2"/>
      <c r="I1" s="2"/>
      <c r="J1" s="2"/>
      <c r="K1" s="2"/>
    </row>
    <row r="2" spans="1:12" ht="30" x14ac:dyDescent="0.4">
      <c r="B2" s="2"/>
      <c r="C2" s="2"/>
      <c r="D2" s="2"/>
      <c r="E2" s="2"/>
      <c r="F2" s="106" t="s">
        <v>321</v>
      </c>
      <c r="G2" s="2"/>
      <c r="H2" s="2"/>
      <c r="I2" s="2"/>
      <c r="J2" s="2"/>
      <c r="K2" s="2"/>
    </row>
    <row r="3" spans="1:12" x14ac:dyDescent="0.2">
      <c r="B3" s="2"/>
      <c r="C3" s="2" t="s">
        <v>11</v>
      </c>
      <c r="D3" s="2"/>
      <c r="E3" s="2"/>
      <c r="F3" s="26"/>
      <c r="G3" s="2"/>
      <c r="H3" s="2"/>
      <c r="I3" s="19" t="s">
        <v>11</v>
      </c>
      <c r="J3" s="2"/>
      <c r="K3" s="2"/>
    </row>
    <row r="4" spans="1:12" x14ac:dyDescent="0.2">
      <c r="B4" s="2" t="s">
        <v>11</v>
      </c>
      <c r="C4" s="2" t="s">
        <v>11</v>
      </c>
      <c r="D4" s="2"/>
      <c r="E4" s="102" t="s">
        <v>274</v>
      </c>
      <c r="F4" s="2"/>
      <c r="G4" s="2"/>
      <c r="H4" s="2"/>
      <c r="I4" s="2"/>
      <c r="J4" s="2"/>
      <c r="K4" s="13" t="s">
        <v>11</v>
      </c>
    </row>
    <row r="5" spans="1:12" x14ac:dyDescent="0.2">
      <c r="B5" s="2"/>
      <c r="C5" s="2"/>
      <c r="D5" s="2"/>
      <c r="E5" s="102"/>
      <c r="F5" s="2"/>
      <c r="G5" s="2"/>
      <c r="H5" s="2"/>
      <c r="I5" s="2"/>
      <c r="J5" s="2"/>
      <c r="K5" s="90" t="s">
        <v>261</v>
      </c>
    </row>
    <row r="6" spans="1:12" x14ac:dyDescent="0.2">
      <c r="B6" s="100" t="s">
        <v>11</v>
      </c>
      <c r="C6" s="2"/>
      <c r="D6" s="81"/>
      <c r="H6" s="2"/>
      <c r="I6" s="90" t="s">
        <v>260</v>
      </c>
      <c r="J6" s="2"/>
      <c r="K6" s="90" t="s">
        <v>121</v>
      </c>
      <c r="L6" s="26" t="s">
        <v>259</v>
      </c>
    </row>
    <row r="7" spans="1:12" ht="13.5" thickBot="1" x14ac:dyDescent="0.25">
      <c r="A7" s="62"/>
      <c r="B7" s="355" t="s">
        <v>270</v>
      </c>
      <c r="C7" s="50"/>
      <c r="D7" s="81"/>
      <c r="H7" s="43"/>
      <c r="I7" s="90" t="s">
        <v>77</v>
      </c>
      <c r="J7" s="2"/>
      <c r="K7" s="90" t="s">
        <v>257</v>
      </c>
      <c r="L7" s="26" t="s">
        <v>217</v>
      </c>
    </row>
    <row r="8" spans="1:12" ht="13.5" thickBot="1" x14ac:dyDescent="0.25">
      <c r="A8" s="62"/>
      <c r="B8" s="151" t="s">
        <v>269</v>
      </c>
      <c r="C8" s="50"/>
      <c r="D8" s="81"/>
      <c r="H8" s="353"/>
      <c r="I8" s="352" t="s">
        <v>61</v>
      </c>
      <c r="J8" s="352" t="s">
        <v>60</v>
      </c>
      <c r="K8" s="351" t="s">
        <v>256</v>
      </c>
      <c r="L8" s="350">
        <v>0.9</v>
      </c>
    </row>
    <row r="9" spans="1:12" ht="13.5" thickBot="1" x14ac:dyDescent="0.25">
      <c r="A9" s="62"/>
      <c r="B9" s="289">
        <v>50.112000000000002</v>
      </c>
      <c r="C9" s="96" t="s">
        <v>73</v>
      </c>
      <c r="D9" s="349"/>
      <c r="H9" s="348" t="s">
        <v>57</v>
      </c>
      <c r="I9" s="71">
        <f>984/B9</f>
        <v>19.636015325670499</v>
      </c>
      <c r="J9" s="327">
        <f t="shared" ref="J9:J14" si="0">12*I9</f>
        <v>235.63218390804599</v>
      </c>
      <c r="K9" s="346" t="s">
        <v>255</v>
      </c>
      <c r="L9" s="329">
        <v>0.91</v>
      </c>
    </row>
    <row r="10" spans="1:12" ht="13.5" thickBot="1" x14ac:dyDescent="0.25">
      <c r="A10" s="288" t="s">
        <v>254</v>
      </c>
      <c r="B10" s="151"/>
      <c r="C10" s="50"/>
      <c r="D10" s="81"/>
      <c r="H10" s="341" t="s">
        <v>54</v>
      </c>
      <c r="I10" s="71">
        <f>3*I13</f>
        <v>14.727011494252874</v>
      </c>
      <c r="J10" s="327">
        <f t="shared" si="0"/>
        <v>176.72413793103448</v>
      </c>
      <c r="K10" s="346" t="s">
        <v>253</v>
      </c>
      <c r="L10" s="329">
        <v>0.91500000000000004</v>
      </c>
    </row>
    <row r="11" spans="1:12" ht="13.5" thickBot="1" x14ac:dyDescent="0.25">
      <c r="A11" s="62"/>
      <c r="B11" s="345">
        <v>0.5</v>
      </c>
      <c r="C11" s="288" t="s">
        <v>10</v>
      </c>
      <c r="D11" s="81"/>
      <c r="H11" s="341" t="s">
        <v>52</v>
      </c>
      <c r="I11" s="71">
        <f>5*I14</f>
        <v>12.272509578544062</v>
      </c>
      <c r="J11" s="327">
        <f t="shared" si="0"/>
        <v>147.27011494252875</v>
      </c>
      <c r="K11" s="330" t="s">
        <v>252</v>
      </c>
      <c r="L11" s="329">
        <v>0.92</v>
      </c>
    </row>
    <row r="12" spans="1:12" ht="13.5" thickBot="1" x14ac:dyDescent="0.25">
      <c r="A12" s="62"/>
      <c r="B12" s="345">
        <v>0.5</v>
      </c>
      <c r="C12" s="288" t="s">
        <v>273</v>
      </c>
      <c r="D12" s="81"/>
      <c r="H12" s="344" t="s">
        <v>69</v>
      </c>
      <c r="I12" s="67">
        <f>I9/2</f>
        <v>9.8180076628352495</v>
      </c>
      <c r="J12" s="343">
        <f t="shared" si="0"/>
        <v>117.81609195402299</v>
      </c>
      <c r="K12" s="330" t="s">
        <v>250</v>
      </c>
      <c r="L12" s="329">
        <v>0.92500000000000004</v>
      </c>
    </row>
    <row r="13" spans="1:12" x14ac:dyDescent="0.2">
      <c r="A13" s="62"/>
      <c r="B13" s="342" t="s">
        <v>249</v>
      </c>
      <c r="C13" s="316">
        <v>1.25</v>
      </c>
      <c r="D13" s="81"/>
      <c r="H13" s="341" t="s">
        <v>44</v>
      </c>
      <c r="I13" s="71">
        <f>I12/2</f>
        <v>4.9090038314176248</v>
      </c>
      <c r="J13" s="327">
        <f t="shared" si="0"/>
        <v>58.908045977011497</v>
      </c>
      <c r="K13" s="330" t="s">
        <v>248</v>
      </c>
      <c r="L13" s="329">
        <v>0.93</v>
      </c>
    </row>
    <row r="14" spans="1:12" x14ac:dyDescent="0.2">
      <c r="A14" s="62"/>
      <c r="B14" s="340" t="s">
        <v>247</v>
      </c>
      <c r="C14" s="316">
        <v>1</v>
      </c>
      <c r="D14" s="81"/>
      <c r="H14" s="339" t="s">
        <v>65</v>
      </c>
      <c r="I14" s="128">
        <f>I13/2</f>
        <v>2.4545019157088124</v>
      </c>
      <c r="J14" s="338">
        <f t="shared" si="0"/>
        <v>29.454022988505749</v>
      </c>
      <c r="K14" s="330" t="s">
        <v>246</v>
      </c>
      <c r="L14" s="329">
        <v>0.93500000000000005</v>
      </c>
    </row>
    <row r="15" spans="1:12" ht="13.5" thickBot="1" x14ac:dyDescent="0.25">
      <c r="A15" s="62"/>
      <c r="B15" s="337" t="s">
        <v>245</v>
      </c>
      <c r="C15" s="316">
        <v>0.75</v>
      </c>
      <c r="D15" s="81"/>
      <c r="E15" s="26"/>
      <c r="F15" s="90" t="s">
        <v>244</v>
      </c>
      <c r="G15" s="89"/>
      <c r="H15" s="336"/>
      <c r="I15" s="335" t="s">
        <v>243</v>
      </c>
      <c r="J15" s="334"/>
      <c r="K15" s="330" t="s">
        <v>242</v>
      </c>
      <c r="L15" s="329">
        <v>0.94699999999999995</v>
      </c>
    </row>
    <row r="16" spans="1:12" x14ac:dyDescent="0.2">
      <c r="A16" s="62"/>
      <c r="B16" s="317" t="s">
        <v>241</v>
      </c>
      <c r="C16" s="316">
        <f>5*C20</f>
        <v>0.625</v>
      </c>
      <c r="D16" s="81"/>
      <c r="E16" s="333" t="s">
        <v>11</v>
      </c>
      <c r="F16" s="332" t="s">
        <v>61</v>
      </c>
      <c r="G16" s="331" t="s">
        <v>60</v>
      </c>
      <c r="H16" s="309" t="s">
        <v>11</v>
      </c>
      <c r="I16" s="71" t="s">
        <v>240</v>
      </c>
      <c r="J16" s="327" t="s">
        <v>239</v>
      </c>
      <c r="K16" s="330" t="s">
        <v>238</v>
      </c>
      <c r="L16" s="329">
        <v>0.96</v>
      </c>
    </row>
    <row r="17" spans="1:12" ht="13.5" thickBot="1" x14ac:dyDescent="0.25">
      <c r="A17" s="62"/>
      <c r="B17" s="317" t="s">
        <v>237</v>
      </c>
      <c r="C17" s="316">
        <v>0.5</v>
      </c>
      <c r="D17" s="81"/>
      <c r="E17" s="328" t="s">
        <v>57</v>
      </c>
      <c r="F17" s="322">
        <f>11810*B28/B9/12</f>
        <v>18.618095466155811</v>
      </c>
      <c r="G17" s="321">
        <f>F17*12</f>
        <v>223.41714559386975</v>
      </c>
      <c r="H17" s="309" t="s">
        <v>176</v>
      </c>
      <c r="I17" s="71">
        <f>0.1*I9</f>
        <v>1.9636015325670499</v>
      </c>
      <c r="J17" s="327">
        <f t="shared" ref="J17:J22" si="1">12*I17</f>
        <v>23.5632183908046</v>
      </c>
      <c r="K17" s="326" t="s">
        <v>236</v>
      </c>
      <c r="L17" s="325">
        <v>0.97</v>
      </c>
    </row>
    <row r="18" spans="1:12" x14ac:dyDescent="0.2">
      <c r="A18" s="62"/>
      <c r="B18" s="317" t="s">
        <v>235</v>
      </c>
      <c r="C18" s="316">
        <f>3*C20</f>
        <v>0.375</v>
      </c>
      <c r="D18" s="78"/>
      <c r="E18" s="323" t="s">
        <v>54</v>
      </c>
      <c r="F18" s="322">
        <f>F21+F20</f>
        <v>13.963571599616859</v>
      </c>
      <c r="G18" s="321">
        <f>G21+G20</f>
        <v>167.56285919540232</v>
      </c>
      <c r="H18" s="320" t="s">
        <v>173</v>
      </c>
      <c r="I18" s="319">
        <f>0.15*I9</f>
        <v>2.9454022988505746</v>
      </c>
      <c r="J18" s="318">
        <f t="shared" si="1"/>
        <v>35.344827586206897</v>
      </c>
      <c r="K18" s="2"/>
    </row>
    <row r="19" spans="1:12" x14ac:dyDescent="0.2">
      <c r="A19" s="62"/>
      <c r="B19" s="324" t="s">
        <v>234</v>
      </c>
      <c r="C19" s="316">
        <v>0.25</v>
      </c>
      <c r="D19" s="59"/>
      <c r="E19" s="323" t="s">
        <v>52</v>
      </c>
      <c r="F19" s="322">
        <f>F21/2*5</f>
        <v>11.636309666347382</v>
      </c>
      <c r="G19" s="321">
        <f>G21/2*5</f>
        <v>139.63571599616859</v>
      </c>
      <c r="H19" s="320" t="s">
        <v>170</v>
      </c>
      <c r="I19" s="319">
        <f>0.2*I9</f>
        <v>3.9272030651340999</v>
      </c>
      <c r="J19" s="318">
        <f t="shared" si="1"/>
        <v>47.1264367816092</v>
      </c>
      <c r="K19" s="2"/>
      <c r="L19" s="158" t="s">
        <v>11</v>
      </c>
    </row>
    <row r="20" spans="1:12" x14ac:dyDescent="0.2">
      <c r="A20" s="62"/>
      <c r="B20" s="317" t="s">
        <v>233</v>
      </c>
      <c r="C20" s="316">
        <v>0.125</v>
      </c>
      <c r="D20" s="59"/>
      <c r="E20" s="315" t="s">
        <v>68</v>
      </c>
      <c r="F20" s="314">
        <f>F17/2</f>
        <v>9.3090477330779056</v>
      </c>
      <c r="G20" s="313">
        <f>G17/2</f>
        <v>111.70857279693487</v>
      </c>
      <c r="H20" s="309" t="s">
        <v>166</v>
      </c>
      <c r="I20" s="71">
        <f>0.3*I9</f>
        <v>5.8908045977011492</v>
      </c>
      <c r="J20" s="308">
        <f t="shared" si="1"/>
        <v>70.689655172413794</v>
      </c>
      <c r="K20" s="2"/>
      <c r="L20" s="1" t="s">
        <v>11</v>
      </c>
    </row>
    <row r="21" spans="1:12" ht="13.5" thickBot="1" x14ac:dyDescent="0.25">
      <c r="A21" s="62"/>
      <c r="B21" s="299" t="s">
        <v>11</v>
      </c>
      <c r="C21" s="299"/>
      <c r="D21" s="59"/>
      <c r="E21" s="312" t="s">
        <v>44</v>
      </c>
      <c r="F21" s="311">
        <f>F17/4</f>
        <v>4.6545238665389528</v>
      </c>
      <c r="G21" s="310">
        <f>G17/4</f>
        <v>55.854286398467437</v>
      </c>
      <c r="H21" s="309" t="s">
        <v>189</v>
      </c>
      <c r="I21" s="71">
        <f>0.4*I9</f>
        <v>7.8544061302681998</v>
      </c>
      <c r="J21" s="308">
        <f t="shared" si="1"/>
        <v>94.252873563218401</v>
      </c>
      <c r="K21" s="2"/>
    </row>
    <row r="22" spans="1:12" ht="13.5" thickBot="1" x14ac:dyDescent="0.25">
      <c r="A22" s="62"/>
      <c r="B22" s="307" t="s">
        <v>227</v>
      </c>
      <c r="C22" s="298" t="s">
        <v>11</v>
      </c>
      <c r="D22" s="81"/>
      <c r="E22" s="306" t="s">
        <v>232</v>
      </c>
      <c r="F22" s="305">
        <f>11810*B35/B9/12/2</f>
        <v>9.3090477330779056</v>
      </c>
      <c r="G22" s="304">
        <f>F22*12</f>
        <v>111.70857279693487</v>
      </c>
      <c r="H22" s="303">
        <v>0.5</v>
      </c>
      <c r="I22" s="10">
        <f>0.5*I9</f>
        <v>9.8180076628352495</v>
      </c>
      <c r="J22" s="302">
        <f t="shared" si="1"/>
        <v>117.81609195402299</v>
      </c>
      <c r="K22" s="2"/>
    </row>
    <row r="23" spans="1:12" x14ac:dyDescent="0.2">
      <c r="A23" s="62"/>
      <c r="B23" s="299" t="s">
        <v>231</v>
      </c>
      <c r="C23" s="298"/>
      <c r="D23" s="2"/>
      <c r="E23" s="26" t="s">
        <v>41</v>
      </c>
      <c r="F23" s="2"/>
      <c r="G23" s="47"/>
      <c r="H23" s="2"/>
      <c r="I23" s="2"/>
      <c r="J23" s="2"/>
      <c r="K23" s="2"/>
    </row>
    <row r="24" spans="1:12" x14ac:dyDescent="0.2">
      <c r="A24" s="62"/>
      <c r="B24" s="294" t="s">
        <v>230</v>
      </c>
      <c r="C24" s="294"/>
      <c r="D24" s="2"/>
      <c r="E24" s="26"/>
      <c r="F24" s="26" t="s">
        <v>229</v>
      </c>
      <c r="G24" s="2"/>
      <c r="H24" s="2"/>
      <c r="I24" s="2"/>
      <c r="J24" s="2"/>
      <c r="K24" s="2"/>
    </row>
    <row r="25" spans="1:12" x14ac:dyDescent="0.2">
      <c r="A25" s="62"/>
      <c r="B25" s="297" t="s">
        <v>221</v>
      </c>
      <c r="C25" s="296">
        <f>F20*12/B11</f>
        <v>223.41714559386975</v>
      </c>
      <c r="D25" s="2"/>
      <c r="E25" s="26" t="s">
        <v>228</v>
      </c>
      <c r="F25" s="26"/>
      <c r="G25" s="2"/>
      <c r="H25" s="2"/>
      <c r="I25" s="2"/>
      <c r="J25" s="2"/>
      <c r="K25" s="2"/>
    </row>
    <row r="26" spans="1:12" x14ac:dyDescent="0.2">
      <c r="A26" s="62"/>
      <c r="B26" s="294" t="s">
        <v>268</v>
      </c>
      <c r="C26" s="294"/>
      <c r="D26" s="2"/>
      <c r="E26" s="2"/>
      <c r="F26" s="2" t="s">
        <v>11</v>
      </c>
      <c r="G26" s="2"/>
      <c r="H26" s="2"/>
      <c r="I26" s="2"/>
      <c r="J26" s="2"/>
      <c r="K26" s="2"/>
    </row>
    <row r="27" spans="1:12" ht="13.5" thickBot="1" x14ac:dyDescent="0.25">
      <c r="A27" s="62"/>
      <c r="B27" s="294" t="s">
        <v>218</v>
      </c>
      <c r="C27" s="293"/>
      <c r="D27" s="2"/>
      <c r="E27" s="2" t="s">
        <v>11</v>
      </c>
      <c r="F27" s="2"/>
      <c r="G27" s="2" t="s">
        <v>11</v>
      </c>
      <c r="H27" s="2" t="s">
        <v>11</v>
      </c>
      <c r="I27" s="2" t="s">
        <v>11</v>
      </c>
      <c r="J27" s="2"/>
      <c r="K27" s="2"/>
    </row>
    <row r="28" spans="1:12" ht="13.5" thickBot="1" x14ac:dyDescent="0.25">
      <c r="A28" s="62"/>
      <c r="B28" s="289">
        <v>0.94799999999999995</v>
      </c>
      <c r="C28" s="288" t="s">
        <v>217</v>
      </c>
      <c r="D28" s="2"/>
      <c r="E28" s="2"/>
      <c r="F28" s="2"/>
      <c r="G28" s="301"/>
      <c r="H28" s="2"/>
      <c r="I28" s="2"/>
      <c r="J28" s="2"/>
      <c r="K28" s="2"/>
    </row>
    <row r="29" spans="1:12" x14ac:dyDescent="0.2">
      <c r="A29" s="62"/>
      <c r="B29" s="300" t="s">
        <v>227</v>
      </c>
      <c r="C29" s="50"/>
      <c r="D29" s="2"/>
      <c r="E29" s="26" t="s">
        <v>36</v>
      </c>
      <c r="F29" s="26" t="s">
        <v>226</v>
      </c>
      <c r="G29" s="2"/>
      <c r="H29" s="2"/>
      <c r="I29" s="244">
        <f>B9</f>
        <v>50.112000000000002</v>
      </c>
      <c r="J29" s="2" t="s">
        <v>34</v>
      </c>
      <c r="K29" s="2"/>
    </row>
    <row r="30" spans="1:12" x14ac:dyDescent="0.2">
      <c r="A30" s="62"/>
      <c r="B30" s="299" t="s">
        <v>225</v>
      </c>
      <c r="C30" s="298"/>
      <c r="D30" s="2"/>
      <c r="E30" s="2"/>
      <c r="F30" s="2"/>
      <c r="G30" s="89"/>
      <c r="H30" s="285" t="s">
        <v>224</v>
      </c>
      <c r="I30" s="89">
        <f>B12</f>
        <v>0.5</v>
      </c>
      <c r="J30" s="89" t="s">
        <v>31</v>
      </c>
      <c r="K30" s="89"/>
    </row>
    <row r="31" spans="1:12" x14ac:dyDescent="0.2">
      <c r="A31" s="62"/>
      <c r="B31" s="294" t="s">
        <v>223</v>
      </c>
      <c r="C31" s="294"/>
      <c r="D31" s="2"/>
      <c r="E31" s="2"/>
      <c r="F31" s="2"/>
      <c r="G31" s="11" t="s">
        <v>11</v>
      </c>
      <c r="H31" s="21" t="s">
        <v>11</v>
      </c>
      <c r="I31" s="21" t="s">
        <v>11</v>
      </c>
      <c r="J31" s="89"/>
      <c r="K31" s="89"/>
    </row>
    <row r="32" spans="1:12" x14ac:dyDescent="0.2">
      <c r="A32" s="62"/>
      <c r="B32" s="297" t="s">
        <v>221</v>
      </c>
      <c r="C32" s="296">
        <f>F22*12/B12</f>
        <v>223.41714559386975</v>
      </c>
      <c r="D32" s="2"/>
      <c r="E32" s="40"/>
      <c r="F32" s="17" t="s">
        <v>33</v>
      </c>
      <c r="G32" s="357">
        <f>I32/12</f>
        <v>12.763409961685824</v>
      </c>
      <c r="H32" s="27" t="s">
        <v>220</v>
      </c>
      <c r="I32" s="285">
        <f>G35+H35+I35+J35</f>
        <v>153.16091954022988</v>
      </c>
      <c r="J32" s="28" t="s">
        <v>31</v>
      </c>
      <c r="K32" s="295"/>
    </row>
    <row r="33" spans="1:12" x14ac:dyDescent="0.2">
      <c r="A33" s="62"/>
      <c r="B33" s="294" t="s">
        <v>268</v>
      </c>
      <c r="C33" s="294"/>
      <c r="D33" s="2"/>
      <c r="E33" s="2"/>
      <c r="F33" s="17" t="s">
        <v>29</v>
      </c>
      <c r="G33" s="166">
        <f>0.04*G22+G22</f>
        <v>116.17691570881227</v>
      </c>
      <c r="H33" s="32">
        <f>G20</f>
        <v>111.70857279693487</v>
      </c>
      <c r="I33" s="160">
        <f>-0.04*G22+G22</f>
        <v>107.24022988505747</v>
      </c>
      <c r="J33" s="160">
        <f>-0.015*I33+I33</f>
        <v>105.63162643678162</v>
      </c>
      <c r="K33" s="160">
        <f>-0.015*J33+J33</f>
        <v>104.04715204022989</v>
      </c>
    </row>
    <row r="34" spans="1:12" ht="13.5" thickBot="1" x14ac:dyDescent="0.25">
      <c r="A34" s="62"/>
      <c r="B34" s="294" t="s">
        <v>218</v>
      </c>
      <c r="C34" s="293"/>
      <c r="D34" s="2"/>
      <c r="E34" s="2"/>
      <c r="F34" s="2"/>
      <c r="G34" s="292" t="s">
        <v>28</v>
      </c>
      <c r="H34" s="292" t="s">
        <v>27</v>
      </c>
      <c r="I34" s="291" t="s">
        <v>26</v>
      </c>
      <c r="J34" s="291" t="s">
        <v>25</v>
      </c>
      <c r="K34" s="290" t="s">
        <v>96</v>
      </c>
    </row>
    <row r="35" spans="1:12" ht="14.25" thickTop="1" thickBot="1" x14ac:dyDescent="0.25">
      <c r="A35" s="62"/>
      <c r="B35" s="289">
        <v>0.94799999999999995</v>
      </c>
      <c r="C35" s="288" t="s">
        <v>217</v>
      </c>
      <c r="D35" s="2"/>
      <c r="E35" s="2"/>
      <c r="F35" s="17" t="s">
        <v>216</v>
      </c>
      <c r="G35" s="165">
        <f>J18</f>
        <v>35.344827586206897</v>
      </c>
      <c r="H35" s="165">
        <f>J18</f>
        <v>35.344827586206897</v>
      </c>
      <c r="I35" s="165">
        <f>J18</f>
        <v>35.344827586206897</v>
      </c>
      <c r="J35" s="32">
        <f>J19</f>
        <v>47.1264367816092</v>
      </c>
      <c r="K35" s="89"/>
      <c r="L35" s="287" t="s">
        <v>11</v>
      </c>
    </row>
    <row r="36" spans="1:12" x14ac:dyDescent="0.2">
      <c r="A36" s="51" t="s">
        <v>276</v>
      </c>
      <c r="B36" s="50"/>
      <c r="C36" s="50"/>
      <c r="D36" s="2"/>
      <c r="E36" s="2"/>
      <c r="F36" s="2"/>
      <c r="G36" s="89"/>
      <c r="H36" s="89"/>
      <c r="I36" s="89"/>
      <c r="J36" s="89"/>
      <c r="K36" s="89"/>
    </row>
    <row r="37" spans="1:12" x14ac:dyDescent="0.2">
      <c r="B37" s="2"/>
      <c r="C37" s="2"/>
      <c r="D37" s="2"/>
      <c r="E37" s="2" t="s">
        <v>215</v>
      </c>
      <c r="F37" s="2"/>
      <c r="G37" s="89"/>
      <c r="H37" s="89"/>
      <c r="I37" s="89"/>
      <c r="J37" s="89"/>
      <c r="K37" s="89"/>
    </row>
    <row r="38" spans="1:12" x14ac:dyDescent="0.2">
      <c r="B38" s="2"/>
      <c r="C38" s="2"/>
      <c r="D38" s="2"/>
      <c r="E38" s="19" t="s">
        <v>214</v>
      </c>
      <c r="F38" s="2"/>
      <c r="G38" s="89"/>
      <c r="H38" s="89"/>
      <c r="I38" s="89"/>
      <c r="J38" s="89"/>
      <c r="K38" s="89"/>
    </row>
    <row r="39" spans="1:12" x14ac:dyDescent="0.2">
      <c r="B39" s="2"/>
      <c r="C39" s="2"/>
      <c r="D39" s="2"/>
      <c r="E39" s="2" t="s">
        <v>213</v>
      </c>
      <c r="F39" s="2"/>
      <c r="G39" s="89"/>
      <c r="H39" s="89"/>
      <c r="I39" s="89"/>
      <c r="J39" s="89"/>
      <c r="K39" s="89"/>
    </row>
    <row r="40" spans="1:12" x14ac:dyDescent="0.2">
      <c r="B40" s="2"/>
      <c r="C40" s="2"/>
      <c r="D40" s="2"/>
      <c r="E40" s="2"/>
      <c r="F40" s="2"/>
      <c r="G40" s="89"/>
      <c r="H40" s="89"/>
      <c r="I40" s="89"/>
      <c r="J40" s="89"/>
      <c r="K40" s="89"/>
    </row>
    <row r="41" spans="1:12" x14ac:dyDescent="0.2">
      <c r="B41" s="2"/>
      <c r="C41" s="2"/>
      <c r="D41" s="2"/>
      <c r="E41" s="22" t="s">
        <v>212</v>
      </c>
      <c r="F41" s="2"/>
      <c r="G41" s="89"/>
      <c r="H41" s="89"/>
      <c r="I41" s="89"/>
      <c r="J41" s="89"/>
      <c r="K41" s="89"/>
    </row>
    <row r="42" spans="1:12" ht="13.5" thickBot="1" x14ac:dyDescent="0.25">
      <c r="B42" s="2"/>
      <c r="C42" s="2"/>
      <c r="D42" s="2"/>
      <c r="E42" s="2"/>
      <c r="F42" s="2"/>
      <c r="G42" s="89"/>
      <c r="H42" s="89"/>
      <c r="I42" s="32">
        <f>H33</f>
        <v>111.70857279693487</v>
      </c>
      <c r="J42" s="89" t="s">
        <v>138</v>
      </c>
      <c r="K42" s="89"/>
    </row>
    <row r="43" spans="1:12" ht="13.5" thickTop="1" x14ac:dyDescent="0.2">
      <c r="B43" s="2"/>
      <c r="C43" s="13" t="s">
        <v>4</v>
      </c>
      <c r="D43" s="13"/>
      <c r="E43" s="19" t="s">
        <v>13</v>
      </c>
      <c r="F43" s="18" t="s">
        <v>12</v>
      </c>
      <c r="G43" s="286"/>
      <c r="H43" s="286"/>
      <c r="I43" s="286" t="s">
        <v>11</v>
      </c>
      <c r="J43" s="286"/>
      <c r="K43" s="89"/>
    </row>
    <row r="44" spans="1:12" x14ac:dyDescent="0.2">
      <c r="B44" s="2"/>
      <c r="C44" s="2"/>
      <c r="D44" s="2"/>
      <c r="E44" s="2"/>
      <c r="F44" s="7" t="s">
        <v>9</v>
      </c>
      <c r="G44" s="12">
        <f>0.007*G17</f>
        <v>1.5639200191570883</v>
      </c>
      <c r="H44" s="89"/>
      <c r="I44" s="285" t="s">
        <v>8</v>
      </c>
      <c r="J44" s="89" t="s">
        <v>211</v>
      </c>
      <c r="K44" s="89"/>
    </row>
    <row r="45" spans="1:12" x14ac:dyDescent="0.2">
      <c r="B45" s="2"/>
      <c r="E45" s="13"/>
      <c r="F45" s="7" t="s">
        <v>210</v>
      </c>
      <c r="G45" s="12">
        <f>0.058*G17</f>
        <v>12.958194444444446</v>
      </c>
      <c r="H45" s="89"/>
      <c r="I45" s="89" t="s">
        <v>275</v>
      </c>
      <c r="J45" s="89"/>
      <c r="K45" s="89"/>
    </row>
    <row r="46" spans="1:12" x14ac:dyDescent="0.2">
      <c r="B46" s="2"/>
      <c r="C46" s="13" t="s">
        <v>11</v>
      </c>
      <c r="D46" s="13"/>
      <c r="E46" s="2" t="s">
        <v>209</v>
      </c>
      <c r="F46" s="2"/>
      <c r="G46" s="5">
        <f>300/B9*7</f>
        <v>41.906130268199234</v>
      </c>
      <c r="H46" s="2" t="s">
        <v>2</v>
      </c>
      <c r="I46" s="2"/>
      <c r="J46" s="2"/>
      <c r="K46" s="2"/>
    </row>
    <row r="47" spans="1:12" x14ac:dyDescent="0.2">
      <c r="B47" s="2"/>
      <c r="C47" s="90" t="s">
        <v>128</v>
      </c>
      <c r="D47" s="13"/>
      <c r="E47" s="26" t="s">
        <v>208</v>
      </c>
      <c r="F47" s="2"/>
      <c r="G47" s="2"/>
      <c r="H47" s="2"/>
      <c r="I47" s="2"/>
      <c r="J47" s="2"/>
      <c r="K47" s="2"/>
    </row>
    <row r="48" spans="1:12" x14ac:dyDescent="0.2">
      <c r="B48" s="2"/>
      <c r="C48" s="2"/>
      <c r="D48" s="2"/>
      <c r="E48" s="26" t="s">
        <v>207</v>
      </c>
      <c r="F48" s="2"/>
      <c r="G48" s="2"/>
      <c r="H48" s="2"/>
      <c r="I48" s="2"/>
      <c r="J48" s="2"/>
      <c r="K48" s="2"/>
    </row>
    <row r="49" spans="2:11" x14ac:dyDescent="0.2">
      <c r="B49" s="2"/>
      <c r="C49" s="2"/>
      <c r="D49" s="2"/>
      <c r="E49" s="2"/>
      <c r="F49" s="2"/>
      <c r="G49" s="2"/>
      <c r="H49" s="2"/>
      <c r="I49" s="2"/>
      <c r="J49" s="2"/>
      <c r="K49" s="2"/>
    </row>
    <row r="50" spans="2:11" x14ac:dyDescent="0.2">
      <c r="B50" s="2"/>
      <c r="C50" s="2"/>
      <c r="D50" s="2"/>
      <c r="E50" s="2"/>
      <c r="F50" s="2"/>
      <c r="G50" s="2"/>
      <c r="H50" s="2"/>
      <c r="I50" s="2"/>
      <c r="J50" s="2"/>
      <c r="K50" s="2"/>
    </row>
  </sheetData>
  <pageMargins left="0.5" right="0.5" top="1" bottom="0.75" header="0.5" footer="0.5"/>
  <pageSetup scale="90" orientation="portrait" horizontalDpi="360" verticalDpi="360" r:id="rId1"/>
  <headerFooter alignWithMargins="0">
    <oddHeader>&amp;R&amp;D&amp;F</oddHeader>
  </headerFooter>
  <drawing r:id="rId2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53"/>
  <sheetViews>
    <sheetView zoomScale="75" workbookViewId="0">
      <selection activeCell="AD19" sqref="AD19"/>
    </sheetView>
  </sheetViews>
  <sheetFormatPr defaultRowHeight="12.75" x14ac:dyDescent="0.2"/>
  <cols>
    <col min="1" max="2" width="9.140625" style="1"/>
    <col min="3" max="7" width="0.85546875" style="1" customWidth="1"/>
    <col min="8" max="9" width="9.140625" style="1"/>
    <col min="10" max="10" width="0.85546875" style="1" customWidth="1"/>
    <col min="11" max="11" width="1.7109375" style="1" customWidth="1"/>
    <col min="12" max="12" width="0.85546875" style="1" customWidth="1"/>
    <col min="13" max="14" width="9.140625" style="1"/>
    <col min="15" max="20" width="0.85546875" style="1" customWidth="1"/>
    <col min="21" max="16384" width="9.140625" style="1"/>
  </cols>
  <sheetData>
    <row r="1" spans="1:23" ht="27" thickBot="1" x14ac:dyDescent="0.45">
      <c r="H1" s="422" t="s">
        <v>322</v>
      </c>
    </row>
    <row r="2" spans="1:23" ht="13.5" thickBot="1" x14ac:dyDescent="0.25">
      <c r="I2" s="3"/>
      <c r="U2" s="421" t="s">
        <v>31</v>
      </c>
      <c r="V2" s="420" t="s">
        <v>313</v>
      </c>
      <c r="W2" s="391"/>
    </row>
    <row r="3" spans="1:23" ht="13.5" thickBot="1" x14ac:dyDescent="0.25">
      <c r="H3" s="26" t="s">
        <v>312</v>
      </c>
      <c r="U3" s="417">
        <f>492/H5*12</f>
        <v>117.8443113772455</v>
      </c>
      <c r="V3" s="416" t="s">
        <v>311</v>
      </c>
      <c r="W3" s="419"/>
    </row>
    <row r="4" spans="1:23" ht="13.5" thickBot="1" x14ac:dyDescent="0.25">
      <c r="A4" s="409" t="s">
        <v>310</v>
      </c>
      <c r="B4" s="408"/>
      <c r="C4" s="408"/>
      <c r="D4" s="408"/>
      <c r="E4" s="408"/>
      <c r="F4" s="408"/>
      <c r="G4" s="408"/>
      <c r="H4" s="408"/>
      <c r="I4" s="418"/>
      <c r="M4" s="26"/>
      <c r="U4" s="417">
        <f>468/H5*12</f>
        <v>112.09580838323353</v>
      </c>
      <c r="V4" s="416" t="s">
        <v>309</v>
      </c>
      <c r="W4" s="415"/>
    </row>
    <row r="5" spans="1:23" ht="13.5" thickBot="1" x14ac:dyDescent="0.25">
      <c r="A5" s="382"/>
      <c r="B5" s="381"/>
      <c r="C5" s="381"/>
      <c r="D5" s="381"/>
      <c r="E5" s="381"/>
      <c r="F5" s="381"/>
      <c r="G5" s="381"/>
      <c r="H5" s="414">
        <v>50.1</v>
      </c>
      <c r="I5" s="413" t="s">
        <v>34</v>
      </c>
      <c r="L5" s="33"/>
      <c r="M5" s="412">
        <v>28</v>
      </c>
      <c r="N5" s="411" t="s">
        <v>308</v>
      </c>
      <c r="O5" s="33"/>
      <c r="P5" s="33"/>
      <c r="Q5" s="33"/>
      <c r="U5" s="410">
        <f>U4-U4*H6</f>
        <v>109.85389221556886</v>
      </c>
      <c r="V5" s="375" t="s">
        <v>307</v>
      </c>
      <c r="W5" s="374"/>
    </row>
    <row r="6" spans="1:23" x14ac:dyDescent="0.2">
      <c r="A6" s="409" t="s">
        <v>306</v>
      </c>
      <c r="B6" s="408"/>
      <c r="C6" s="408"/>
      <c r="D6" s="408"/>
      <c r="E6" s="408"/>
      <c r="F6" s="408"/>
      <c r="G6" s="408"/>
      <c r="H6" s="407">
        <v>0.02</v>
      </c>
      <c r="I6" s="406" t="s">
        <v>305</v>
      </c>
      <c r="L6" s="33"/>
      <c r="M6" s="402" t="s">
        <v>304</v>
      </c>
      <c r="N6" s="33"/>
      <c r="O6" s="33"/>
      <c r="P6" s="33"/>
      <c r="Q6" s="33"/>
      <c r="U6" s="378">
        <f>U5-U5*0.0052</f>
        <v>109.2826519760479</v>
      </c>
      <c r="V6" s="375" t="s">
        <v>286</v>
      </c>
      <c r="W6" s="374"/>
    </row>
    <row r="7" spans="1:23" x14ac:dyDescent="0.2">
      <c r="A7" s="405" t="s">
        <v>303</v>
      </c>
      <c r="B7" s="404"/>
      <c r="C7" s="404"/>
      <c r="D7" s="404"/>
      <c r="E7" s="404"/>
      <c r="F7" s="404"/>
      <c r="G7" s="404"/>
      <c r="H7" s="404"/>
      <c r="I7" s="403">
        <v>0</v>
      </c>
      <c r="L7" s="33"/>
      <c r="M7" s="402" t="s">
        <v>302</v>
      </c>
      <c r="N7" s="33"/>
      <c r="O7" s="33"/>
      <c r="P7" s="33"/>
      <c r="Q7" s="33"/>
      <c r="U7" s="378">
        <f>U5-U5*0.05</f>
        <v>104.36119760479042</v>
      </c>
      <c r="V7" s="375" t="s">
        <v>285</v>
      </c>
      <c r="W7" s="374"/>
    </row>
    <row r="8" spans="1:23" ht="13.5" thickBot="1" x14ac:dyDescent="0.25">
      <c r="A8" s="382" t="s">
        <v>301</v>
      </c>
      <c r="B8" s="381"/>
      <c r="C8" s="381"/>
      <c r="D8" s="381"/>
      <c r="E8" s="381"/>
      <c r="F8" s="381"/>
      <c r="G8" s="381"/>
      <c r="H8" s="401"/>
      <c r="I8" s="400">
        <v>0.02</v>
      </c>
      <c r="K8" s="399" t="s">
        <v>11</v>
      </c>
      <c r="L8" s="398" t="s">
        <v>300</v>
      </c>
      <c r="M8" s="33"/>
      <c r="N8" s="33"/>
      <c r="O8" s="33"/>
      <c r="P8" s="33"/>
      <c r="Q8" s="33"/>
      <c r="U8" s="378">
        <f>U5-U5*0.092</f>
        <v>99.747334131736523</v>
      </c>
      <c r="V8" s="375" t="s">
        <v>284</v>
      </c>
      <c r="W8" s="374"/>
    </row>
    <row r="9" spans="1:23" ht="13.5" thickBot="1" x14ac:dyDescent="0.25">
      <c r="A9" s="388"/>
      <c r="B9" s="387"/>
      <c r="C9" s="387"/>
      <c r="D9" s="387"/>
      <c r="E9" s="387"/>
      <c r="F9" s="387"/>
      <c r="G9" s="387"/>
      <c r="H9" s="387"/>
      <c r="I9" s="386" t="s">
        <v>11</v>
      </c>
      <c r="U9" s="378">
        <f>U5/2-U5*0.0255</f>
        <v>52.125671856287425</v>
      </c>
      <c r="V9" s="375" t="s">
        <v>299</v>
      </c>
      <c r="W9" s="374"/>
    </row>
    <row r="10" spans="1:23" ht="13.5" thickBot="1" x14ac:dyDescent="0.25">
      <c r="A10" s="397" t="s">
        <v>298</v>
      </c>
      <c r="B10" s="387"/>
      <c r="C10" s="387"/>
      <c r="D10" s="387"/>
      <c r="E10" s="387"/>
      <c r="F10" s="387"/>
      <c r="G10" s="387"/>
      <c r="H10" s="396">
        <v>3.5</v>
      </c>
      <c r="I10" s="395" t="s">
        <v>297</v>
      </c>
      <c r="M10" s="394" t="s">
        <v>19</v>
      </c>
      <c r="N10" s="393" t="s">
        <v>296</v>
      </c>
      <c r="O10" s="392"/>
      <c r="P10" s="392"/>
      <c r="Q10" s="391"/>
      <c r="U10" s="378">
        <f>U5/2-U5*0.0435</f>
        <v>50.148301796407189</v>
      </c>
      <c r="V10" s="375" t="s">
        <v>295</v>
      </c>
      <c r="W10" s="374"/>
    </row>
    <row r="11" spans="1:23" x14ac:dyDescent="0.2">
      <c r="A11" s="388"/>
      <c r="B11" s="387"/>
      <c r="C11" s="387"/>
      <c r="D11" s="387"/>
      <c r="E11" s="387"/>
      <c r="F11" s="387"/>
      <c r="G11" s="387"/>
      <c r="H11" s="390">
        <f>H10</f>
        <v>3.5</v>
      </c>
      <c r="I11" s="386"/>
      <c r="M11" s="385">
        <f>U5*2/360*M5</f>
        <v>17.088383233532937</v>
      </c>
      <c r="N11" s="389" t="s">
        <v>294</v>
      </c>
      <c r="O11" s="384"/>
      <c r="P11" s="384"/>
      <c r="Q11" s="383"/>
      <c r="U11" s="378">
        <f>U5/2-U5*0.027</f>
        <v>51.960891017964073</v>
      </c>
      <c r="V11" s="375" t="s">
        <v>293</v>
      </c>
      <c r="W11" s="374"/>
    </row>
    <row r="12" spans="1:23" x14ac:dyDescent="0.2">
      <c r="A12" s="388" t="s">
        <v>292</v>
      </c>
      <c r="B12" s="387"/>
      <c r="C12" s="387"/>
      <c r="D12" s="387"/>
      <c r="E12" s="387"/>
      <c r="F12" s="387"/>
      <c r="G12" s="387"/>
      <c r="H12" s="387"/>
      <c r="I12" s="386"/>
      <c r="M12" s="385">
        <f>M11-M11*0.06-H6*30</f>
        <v>15.463080239520961</v>
      </c>
      <c r="N12" s="375" t="s">
        <v>87</v>
      </c>
      <c r="O12" s="384"/>
      <c r="P12" s="384"/>
      <c r="Q12" s="383"/>
      <c r="U12" s="378">
        <f>U5/2-U5*0.009</f>
        <v>53.938261077844309</v>
      </c>
      <c r="V12" s="375" t="s">
        <v>291</v>
      </c>
      <c r="W12" s="374"/>
    </row>
    <row r="13" spans="1:23" ht="13.5" thickBot="1" x14ac:dyDescent="0.25">
      <c r="A13" s="382" t="s">
        <v>290</v>
      </c>
      <c r="B13" s="381"/>
      <c r="C13" s="381"/>
      <c r="D13" s="381"/>
      <c r="E13" s="381"/>
      <c r="F13" s="381"/>
      <c r="G13" s="381"/>
      <c r="H13" s="381"/>
      <c r="I13" s="380"/>
      <c r="U13" s="378">
        <f>U5/2+U5*0.0165</f>
        <v>56.739535329341315</v>
      </c>
      <c r="V13" s="375" t="s">
        <v>289</v>
      </c>
      <c r="W13" s="374"/>
    </row>
    <row r="14" spans="1:23" x14ac:dyDescent="0.2">
      <c r="M14" s="379">
        <f>U14</f>
        <v>6</v>
      </c>
      <c r="N14" s="1" t="s">
        <v>288</v>
      </c>
      <c r="U14" s="378">
        <v>6</v>
      </c>
      <c r="V14" s="375" t="s">
        <v>287</v>
      </c>
      <c r="W14" s="374"/>
    </row>
    <row r="15" spans="1:23" x14ac:dyDescent="0.2">
      <c r="U15" s="377">
        <f>N28</f>
        <v>33.628742514970057</v>
      </c>
      <c r="V15" s="375" t="s">
        <v>286</v>
      </c>
      <c r="W15" s="374" t="s">
        <v>87</v>
      </c>
    </row>
    <row r="16" spans="1:23" ht="13.5" thickBot="1" x14ac:dyDescent="0.25">
      <c r="C16" s="107"/>
      <c r="D16" s="107"/>
      <c r="E16" s="107"/>
      <c r="F16" s="107"/>
      <c r="G16" s="107"/>
      <c r="H16" s="366" t="s">
        <v>279</v>
      </c>
      <c r="I16" s="367">
        <f>U13</f>
        <v>56.739535329341315</v>
      </c>
      <c r="M16" s="366" t="s">
        <v>279</v>
      </c>
      <c r="N16" s="365">
        <f>U13</f>
        <v>56.739535329341315</v>
      </c>
      <c r="O16" s="107"/>
      <c r="P16" s="107"/>
      <c r="Q16" s="107"/>
      <c r="R16" s="107"/>
      <c r="S16" s="107"/>
      <c r="T16" s="33"/>
      <c r="U16" s="376">
        <f>N34</f>
        <v>47.864910179640717</v>
      </c>
      <c r="V16" s="375" t="s">
        <v>285</v>
      </c>
      <c r="W16" s="374" t="s">
        <v>87</v>
      </c>
    </row>
    <row r="17" spans="2:23" x14ac:dyDescent="0.2">
      <c r="I17" s="15"/>
      <c r="K17" s="361"/>
      <c r="M17" s="363" t="s">
        <v>280</v>
      </c>
      <c r="N17" s="362">
        <f>M12</f>
        <v>15.463080239520961</v>
      </c>
      <c r="U17" s="376">
        <f>N43</f>
        <v>70.059880239520965</v>
      </c>
      <c r="V17" s="375" t="s">
        <v>284</v>
      </c>
      <c r="W17" s="374" t="s">
        <v>87</v>
      </c>
    </row>
    <row r="18" spans="2:23" ht="13.5" thickBot="1" x14ac:dyDescent="0.25">
      <c r="D18" s="107"/>
      <c r="E18" s="107"/>
      <c r="F18" s="107"/>
      <c r="G18" s="107"/>
      <c r="H18" s="366" t="s">
        <v>279</v>
      </c>
      <c r="I18" s="367">
        <f>U12</f>
        <v>53.938261077844309</v>
      </c>
      <c r="K18" s="361"/>
      <c r="M18" s="366" t="s">
        <v>279</v>
      </c>
      <c r="N18" s="365">
        <f>U12</f>
        <v>53.938261077844309</v>
      </c>
      <c r="O18" s="107"/>
      <c r="P18" s="107"/>
      <c r="Q18" s="107"/>
      <c r="R18" s="107"/>
      <c r="S18" s="33"/>
      <c r="U18" s="373">
        <f>H11</f>
        <v>3.5</v>
      </c>
      <c r="V18" s="372" t="s">
        <v>283</v>
      </c>
      <c r="W18" s="371"/>
    </row>
    <row r="19" spans="2:23" ht="13.5" thickBot="1" x14ac:dyDescent="0.25">
      <c r="I19" s="15"/>
      <c r="K19" s="361"/>
      <c r="M19" s="363" t="s">
        <v>280</v>
      </c>
      <c r="N19" s="362">
        <f>M12</f>
        <v>15.463080239520961</v>
      </c>
      <c r="U19" s="370">
        <f>SUM(N28:N43)+N23+N21+N19+N17</f>
        <v>217.73551635928146</v>
      </c>
      <c r="V19" s="369" t="s">
        <v>33</v>
      </c>
      <c r="W19" s="368"/>
    </row>
    <row r="20" spans="2:23" ht="13.5" thickBot="1" x14ac:dyDescent="0.25">
      <c r="E20" s="107"/>
      <c r="F20" s="107"/>
      <c r="G20" s="107"/>
      <c r="H20" s="366" t="s">
        <v>279</v>
      </c>
      <c r="I20" s="367">
        <f>U11</f>
        <v>51.960891017964073</v>
      </c>
      <c r="K20" s="361"/>
      <c r="M20" s="366" t="s">
        <v>279</v>
      </c>
      <c r="N20" s="365">
        <f>U11</f>
        <v>51.960891017964073</v>
      </c>
      <c r="O20" s="107"/>
      <c r="P20" s="107"/>
      <c r="Q20" s="107"/>
    </row>
    <row r="21" spans="2:23" x14ac:dyDescent="0.2">
      <c r="I21" s="15"/>
      <c r="K21" s="361"/>
      <c r="M21" s="363" t="s">
        <v>280</v>
      </c>
      <c r="N21" s="362">
        <f>M12</f>
        <v>15.463080239520961</v>
      </c>
      <c r="U21" s="1" t="s">
        <v>282</v>
      </c>
    </row>
    <row r="22" spans="2:23" ht="13.5" thickBot="1" x14ac:dyDescent="0.25">
      <c r="F22" s="107"/>
      <c r="G22" s="107"/>
      <c r="H22" s="366" t="s">
        <v>279</v>
      </c>
      <c r="I22" s="367">
        <f>U10</f>
        <v>50.148301796407189</v>
      </c>
      <c r="K22" s="361"/>
      <c r="M22" s="366" t="s">
        <v>279</v>
      </c>
      <c r="N22" s="365">
        <f>U10</f>
        <v>50.148301796407189</v>
      </c>
      <c r="O22" s="107"/>
      <c r="P22" s="107"/>
      <c r="U22" s="1" t="s">
        <v>281</v>
      </c>
    </row>
    <row r="23" spans="2:23" x14ac:dyDescent="0.2">
      <c r="I23" s="15"/>
      <c r="K23" s="361"/>
      <c r="M23" s="363" t="s">
        <v>280</v>
      </c>
      <c r="N23" s="362">
        <f>M12+M12*0.28</f>
        <v>19.792742706586829</v>
      </c>
    </row>
    <row r="24" spans="2:23" x14ac:dyDescent="0.2">
      <c r="I24" s="15"/>
      <c r="K24" s="361"/>
      <c r="N24" s="362"/>
    </row>
    <row r="25" spans="2:23" ht="13.5" thickBot="1" x14ac:dyDescent="0.25">
      <c r="E25" s="107"/>
      <c r="F25" s="107"/>
      <c r="G25" s="107"/>
      <c r="H25" s="366" t="s">
        <v>279</v>
      </c>
      <c r="I25" s="367">
        <f>U9</f>
        <v>52.125671856287425</v>
      </c>
      <c r="K25" s="361"/>
      <c r="M25" s="366" t="s">
        <v>279</v>
      </c>
      <c r="N25" s="365">
        <f>U9</f>
        <v>52.125671856287425</v>
      </c>
      <c r="O25" s="107"/>
      <c r="P25" s="107"/>
      <c r="Q25" s="107"/>
    </row>
    <row r="26" spans="2:23" x14ac:dyDescent="0.2">
      <c r="B26" s="1" t="s">
        <v>278</v>
      </c>
      <c r="K26" s="361"/>
      <c r="M26" s="364">
        <f>U18</f>
        <v>3.5</v>
      </c>
      <c r="N26" s="287" t="s">
        <v>277</v>
      </c>
    </row>
    <row r="27" spans="2:23" x14ac:dyDescent="0.2">
      <c r="K27" s="361"/>
      <c r="N27" s="287"/>
    </row>
    <row r="28" spans="2:23" x14ac:dyDescent="0.2">
      <c r="K28" s="361"/>
      <c r="M28" s="363" t="s">
        <v>87</v>
      </c>
      <c r="N28" s="362">
        <f>U4*0.3</f>
        <v>33.628742514970057</v>
      </c>
    </row>
    <row r="29" spans="2:23" x14ac:dyDescent="0.2">
      <c r="K29" s="361"/>
      <c r="N29" s="287"/>
    </row>
    <row r="30" spans="2:23" ht="13.5" thickBot="1" x14ac:dyDescent="0.25">
      <c r="H30" s="107"/>
      <c r="I30" s="359">
        <f>U6</f>
        <v>109.2826519760479</v>
      </c>
      <c r="J30" s="107"/>
      <c r="K30" s="360"/>
      <c r="L30" s="107"/>
      <c r="M30" s="107"/>
      <c r="N30" s="359"/>
    </row>
    <row r="31" spans="2:23" x14ac:dyDescent="0.2">
      <c r="K31" s="361"/>
      <c r="N31" s="287"/>
    </row>
    <row r="32" spans="2:23" x14ac:dyDescent="0.2">
      <c r="K32" s="361"/>
      <c r="N32" s="287"/>
    </row>
    <row r="33" spans="8:14" x14ac:dyDescent="0.2">
      <c r="K33" s="361"/>
      <c r="N33" s="287"/>
    </row>
    <row r="34" spans="8:14" x14ac:dyDescent="0.2">
      <c r="K34" s="361"/>
      <c r="M34" s="363" t="s">
        <v>87</v>
      </c>
      <c r="N34" s="362">
        <f>U4*0.427</f>
        <v>47.864910179640717</v>
      </c>
    </row>
    <row r="35" spans="8:14" x14ac:dyDescent="0.2">
      <c r="K35" s="361"/>
      <c r="N35" s="287"/>
    </row>
    <row r="36" spans="8:14" x14ac:dyDescent="0.2">
      <c r="K36" s="361"/>
      <c r="N36" s="287"/>
    </row>
    <row r="37" spans="8:14" ht="13.5" thickBot="1" x14ac:dyDescent="0.25">
      <c r="H37" s="107"/>
      <c r="I37" s="359">
        <f>U7</f>
        <v>104.36119760479042</v>
      </c>
      <c r="J37" s="107"/>
      <c r="K37" s="360"/>
      <c r="L37" s="107"/>
      <c r="M37" s="107"/>
      <c r="N37" s="359"/>
    </row>
    <row r="38" spans="8:14" x14ac:dyDescent="0.2">
      <c r="K38" s="361"/>
      <c r="N38" s="287"/>
    </row>
    <row r="39" spans="8:14" x14ac:dyDescent="0.2">
      <c r="K39" s="361"/>
      <c r="N39" s="287"/>
    </row>
    <row r="40" spans="8:14" x14ac:dyDescent="0.2">
      <c r="K40" s="361"/>
      <c r="N40" s="287"/>
    </row>
    <row r="41" spans="8:14" x14ac:dyDescent="0.2">
      <c r="K41" s="361"/>
      <c r="N41" s="287"/>
    </row>
    <row r="42" spans="8:14" x14ac:dyDescent="0.2">
      <c r="K42" s="361"/>
      <c r="N42" s="287"/>
    </row>
    <row r="43" spans="8:14" x14ac:dyDescent="0.2">
      <c r="K43" s="361"/>
      <c r="M43" s="363" t="s">
        <v>87</v>
      </c>
      <c r="N43" s="362">
        <f>U4*0.625</f>
        <v>70.059880239520965</v>
      </c>
    </row>
    <row r="44" spans="8:14" x14ac:dyDescent="0.2">
      <c r="K44" s="361"/>
      <c r="N44" s="287"/>
    </row>
    <row r="45" spans="8:14" x14ac:dyDescent="0.2">
      <c r="K45" s="361"/>
      <c r="N45" s="287"/>
    </row>
    <row r="46" spans="8:14" x14ac:dyDescent="0.2">
      <c r="K46" s="361"/>
      <c r="N46" s="287"/>
    </row>
    <row r="47" spans="8:14" x14ac:dyDescent="0.2">
      <c r="K47" s="361"/>
      <c r="N47" s="287"/>
    </row>
    <row r="48" spans="8:14" ht="13.5" thickBot="1" x14ac:dyDescent="0.25">
      <c r="H48" s="107"/>
      <c r="I48" s="359">
        <f>U8</f>
        <v>99.747334131736523</v>
      </c>
      <c r="J48" s="107"/>
      <c r="K48" s="360"/>
      <c r="L48" s="107"/>
      <c r="M48" s="107"/>
      <c r="N48" s="359"/>
    </row>
    <row r="49" spans="14:14" x14ac:dyDescent="0.2">
      <c r="N49" s="158"/>
    </row>
    <row r="50" spans="14:14" x14ac:dyDescent="0.2">
      <c r="N50" s="158"/>
    </row>
    <row r="51" spans="14:14" x14ac:dyDescent="0.2">
      <c r="N51" s="158"/>
    </row>
    <row r="52" spans="14:14" x14ac:dyDescent="0.2">
      <c r="N52" s="158"/>
    </row>
    <row r="53" spans="14:14" x14ac:dyDescent="0.2">
      <c r="N53" s="158"/>
    </row>
  </sheetData>
  <pageMargins left="0.5" right="0.5" top="1" bottom="1" header="0.5" footer="0.5"/>
  <pageSetup scale="90" orientation="portrait" horizontalDpi="360" verticalDpi="360" r:id="rId1"/>
  <headerFooter alignWithMargins="0">
    <oddFooter>&amp;L&amp;D&amp;F&amp;R&amp;F</oddFooter>
  </headerFooter>
  <drawing r:id="rId2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53"/>
  <sheetViews>
    <sheetView zoomScale="75" workbookViewId="0">
      <selection activeCell="Z37" sqref="Z37"/>
    </sheetView>
  </sheetViews>
  <sheetFormatPr defaultRowHeight="12.75" x14ac:dyDescent="0.2"/>
  <cols>
    <col min="1" max="2" width="9.140625" style="1"/>
    <col min="3" max="7" width="0.85546875" style="1" customWidth="1"/>
    <col min="8" max="9" width="9.140625" style="1"/>
    <col min="10" max="10" width="0.85546875" style="1" customWidth="1"/>
    <col min="11" max="11" width="1.7109375" style="1" customWidth="1"/>
    <col min="12" max="12" width="0.85546875" style="1" customWidth="1"/>
    <col min="13" max="14" width="9.140625" style="1"/>
    <col min="15" max="20" width="0.85546875" style="1" customWidth="1"/>
    <col min="21" max="16384" width="9.140625" style="1"/>
  </cols>
  <sheetData>
    <row r="1" spans="1:23" ht="27" thickBot="1" x14ac:dyDescent="0.45">
      <c r="H1" s="422" t="s">
        <v>323</v>
      </c>
      <c r="V1" s="1" t="s">
        <v>315</v>
      </c>
    </row>
    <row r="2" spans="1:23" ht="13.5" thickBot="1" x14ac:dyDescent="0.25">
      <c r="A2" s="433" t="s">
        <v>11</v>
      </c>
      <c r="I2" s="48"/>
      <c r="U2" s="421" t="s">
        <v>31</v>
      </c>
      <c r="V2" s="420" t="s">
        <v>313</v>
      </c>
      <c r="W2" s="391"/>
    </row>
    <row r="3" spans="1:23" ht="13.5" thickBot="1" x14ac:dyDescent="0.25">
      <c r="H3" s="26" t="s">
        <v>312</v>
      </c>
      <c r="U3" s="432">
        <f>492/H5*12</f>
        <v>41</v>
      </c>
      <c r="V3" s="416" t="s">
        <v>311</v>
      </c>
      <c r="W3" s="419"/>
    </row>
    <row r="4" spans="1:23" ht="13.5" thickBot="1" x14ac:dyDescent="0.25">
      <c r="A4" s="409" t="s">
        <v>310</v>
      </c>
      <c r="B4" s="408"/>
      <c r="C4" s="408"/>
      <c r="D4" s="408"/>
      <c r="E4" s="408"/>
      <c r="F4" s="408"/>
      <c r="G4" s="408"/>
      <c r="H4" s="408"/>
      <c r="I4" s="418"/>
      <c r="M4" s="26"/>
      <c r="U4" s="432">
        <f>468/H5*12</f>
        <v>39</v>
      </c>
      <c r="V4" s="416" t="s">
        <v>309</v>
      </c>
      <c r="W4" s="415"/>
    </row>
    <row r="5" spans="1:23" ht="13.5" thickBot="1" x14ac:dyDescent="0.25">
      <c r="A5" s="382"/>
      <c r="B5" s="381"/>
      <c r="C5" s="381"/>
      <c r="D5" s="381"/>
      <c r="E5" s="381"/>
      <c r="F5" s="381"/>
      <c r="G5" s="381"/>
      <c r="H5" s="431">
        <v>144</v>
      </c>
      <c r="I5" s="413" t="s">
        <v>34</v>
      </c>
      <c r="L5" s="33"/>
      <c r="M5" s="412">
        <v>28</v>
      </c>
      <c r="N5" s="411" t="s">
        <v>308</v>
      </c>
      <c r="O5" s="33"/>
      <c r="P5" s="33"/>
      <c r="Q5" s="33"/>
      <c r="U5" s="410">
        <f>U4-U4*H6</f>
        <v>39</v>
      </c>
      <c r="V5" s="375" t="s">
        <v>307</v>
      </c>
      <c r="W5" s="374"/>
    </row>
    <row r="6" spans="1:23" x14ac:dyDescent="0.2">
      <c r="A6" s="409" t="s">
        <v>306</v>
      </c>
      <c r="B6" s="408"/>
      <c r="C6" s="408"/>
      <c r="D6" s="408"/>
      <c r="E6" s="408"/>
      <c r="F6" s="408"/>
      <c r="G6" s="408"/>
      <c r="H6" s="407">
        <v>0</v>
      </c>
      <c r="I6" s="406" t="s">
        <v>305</v>
      </c>
      <c r="L6" s="33"/>
      <c r="M6" s="402" t="s">
        <v>304</v>
      </c>
      <c r="N6" s="33"/>
      <c r="O6" s="33"/>
      <c r="P6" s="33"/>
      <c r="Q6" s="33"/>
      <c r="U6" s="378">
        <f>U5-U5*0.0052</f>
        <v>38.797199999999997</v>
      </c>
      <c r="V6" s="375" t="s">
        <v>286</v>
      </c>
      <c r="W6" s="374"/>
    </row>
    <row r="7" spans="1:23" x14ac:dyDescent="0.2">
      <c r="A7" s="405" t="s">
        <v>303</v>
      </c>
      <c r="B7" s="404"/>
      <c r="C7" s="404"/>
      <c r="D7" s="404"/>
      <c r="E7" s="404"/>
      <c r="F7" s="404"/>
      <c r="G7" s="404"/>
      <c r="H7" s="404"/>
      <c r="I7" s="403">
        <v>0</v>
      </c>
      <c r="L7" s="33"/>
      <c r="M7" s="402" t="s">
        <v>302</v>
      </c>
      <c r="N7" s="33"/>
      <c r="O7" s="33"/>
      <c r="P7" s="33"/>
      <c r="Q7" s="33"/>
      <c r="U7" s="378">
        <f>U5-U5*0.05</f>
        <v>37.049999999999997</v>
      </c>
      <c r="V7" s="375" t="s">
        <v>285</v>
      </c>
      <c r="W7" s="374"/>
    </row>
    <row r="8" spans="1:23" ht="13.5" thickBot="1" x14ac:dyDescent="0.25">
      <c r="A8" s="382" t="s">
        <v>301</v>
      </c>
      <c r="B8" s="381"/>
      <c r="C8" s="381"/>
      <c r="D8" s="381"/>
      <c r="E8" s="381"/>
      <c r="F8" s="381"/>
      <c r="G8" s="381"/>
      <c r="H8" s="401"/>
      <c r="I8" s="400">
        <v>0.02</v>
      </c>
      <c r="K8" s="399" t="s">
        <v>11</v>
      </c>
      <c r="L8" s="398" t="s">
        <v>300</v>
      </c>
      <c r="M8" s="33"/>
      <c r="N8" s="33"/>
      <c r="O8" s="33"/>
      <c r="P8" s="33"/>
      <c r="Q8" s="33"/>
      <c r="U8" s="378">
        <f>U5-U5*0.092</f>
        <v>35.411999999999999</v>
      </c>
      <c r="V8" s="375" t="s">
        <v>284</v>
      </c>
      <c r="W8" s="374"/>
    </row>
    <row r="9" spans="1:23" ht="13.5" thickBot="1" x14ac:dyDescent="0.25">
      <c r="A9" s="388"/>
      <c r="B9" s="387"/>
      <c r="C9" s="387"/>
      <c r="D9" s="387"/>
      <c r="E9" s="387"/>
      <c r="F9" s="387"/>
      <c r="G9" s="387"/>
      <c r="H9" s="387"/>
      <c r="I9" s="386" t="s">
        <v>11</v>
      </c>
      <c r="U9" s="378">
        <f>U5/2-U5*0.0255</f>
        <v>18.505500000000001</v>
      </c>
      <c r="V9" s="375" t="s">
        <v>299</v>
      </c>
      <c r="W9" s="374"/>
    </row>
    <row r="10" spans="1:23" ht="13.5" thickBot="1" x14ac:dyDescent="0.25">
      <c r="A10" s="397" t="s">
        <v>298</v>
      </c>
      <c r="B10" s="387"/>
      <c r="C10" s="387"/>
      <c r="D10" s="387"/>
      <c r="E10" s="387"/>
      <c r="F10" s="387"/>
      <c r="G10" s="387"/>
      <c r="H10" s="430">
        <v>2</v>
      </c>
      <c r="I10" s="395" t="s">
        <v>297</v>
      </c>
      <c r="M10" s="394" t="s">
        <v>19</v>
      </c>
      <c r="N10" s="393" t="s">
        <v>296</v>
      </c>
      <c r="O10" s="392"/>
      <c r="P10" s="392"/>
      <c r="Q10" s="391"/>
      <c r="U10" s="378">
        <f>U5/2-U5*0.0435</f>
        <v>17.8035</v>
      </c>
      <c r="V10" s="375" t="s">
        <v>295</v>
      </c>
      <c r="W10" s="374"/>
    </row>
    <row r="11" spans="1:23" x14ac:dyDescent="0.2">
      <c r="A11" s="388"/>
      <c r="B11" s="387"/>
      <c r="C11" s="387"/>
      <c r="D11" s="387"/>
      <c r="E11" s="387"/>
      <c r="F11" s="387"/>
      <c r="G11" s="387"/>
      <c r="H11" s="390">
        <f>H10</f>
        <v>2</v>
      </c>
      <c r="I11" s="386"/>
      <c r="M11" s="429">
        <f>U5*2/360*M5</f>
        <v>6.0666666666666664</v>
      </c>
      <c r="N11" s="389" t="s">
        <v>294</v>
      </c>
      <c r="O11" s="384"/>
      <c r="P11" s="384"/>
      <c r="Q11" s="383"/>
      <c r="U11" s="378">
        <f>U5/2-U5*0.027</f>
        <v>18.446999999999999</v>
      </c>
      <c r="V11" s="375" t="s">
        <v>293</v>
      </c>
      <c r="W11" s="374"/>
    </row>
    <row r="12" spans="1:23" x14ac:dyDescent="0.2">
      <c r="A12" s="388" t="s">
        <v>292</v>
      </c>
      <c r="B12" s="387"/>
      <c r="C12" s="387"/>
      <c r="D12" s="387"/>
      <c r="E12" s="387"/>
      <c r="F12" s="387"/>
      <c r="G12" s="387"/>
      <c r="H12" s="387"/>
      <c r="I12" s="386"/>
      <c r="M12" s="429">
        <f>M11-M11*0.06-H6*30</f>
        <v>5.7026666666666666</v>
      </c>
      <c r="N12" s="375" t="s">
        <v>87</v>
      </c>
      <c r="O12" s="384"/>
      <c r="P12" s="384"/>
      <c r="Q12" s="383"/>
      <c r="U12" s="378">
        <f>U5/2-U5*0.009</f>
        <v>19.149000000000001</v>
      </c>
      <c r="V12" s="375" t="s">
        <v>291</v>
      </c>
      <c r="W12" s="374"/>
    </row>
    <row r="13" spans="1:23" ht="13.5" thickBot="1" x14ac:dyDescent="0.25">
      <c r="A13" s="382" t="s">
        <v>290</v>
      </c>
      <c r="B13" s="381"/>
      <c r="C13" s="381"/>
      <c r="D13" s="381"/>
      <c r="E13" s="381"/>
      <c r="F13" s="381"/>
      <c r="G13" s="381"/>
      <c r="H13" s="381"/>
      <c r="I13" s="380"/>
      <c r="U13" s="378">
        <f>U5/2+U5*0.0165</f>
        <v>20.1435</v>
      </c>
      <c r="V13" s="375" t="s">
        <v>289</v>
      </c>
      <c r="W13" s="374"/>
    </row>
    <row r="14" spans="1:23" x14ac:dyDescent="0.2">
      <c r="M14" s="379">
        <f>U14</f>
        <v>6</v>
      </c>
      <c r="N14" s="1" t="s">
        <v>288</v>
      </c>
      <c r="U14" s="428">
        <v>6</v>
      </c>
      <c r="V14" s="375" t="s">
        <v>287</v>
      </c>
      <c r="W14" s="374"/>
    </row>
    <row r="15" spans="1:23" x14ac:dyDescent="0.2">
      <c r="U15" s="377">
        <f>N28</f>
        <v>11.7</v>
      </c>
      <c r="V15" s="375" t="s">
        <v>286</v>
      </c>
      <c r="W15" s="374" t="s">
        <v>87</v>
      </c>
    </row>
    <row r="16" spans="1:23" ht="13.5" thickBot="1" x14ac:dyDescent="0.25">
      <c r="C16" s="107"/>
      <c r="D16" s="107"/>
      <c r="E16" s="107"/>
      <c r="F16" s="107"/>
      <c r="G16" s="107"/>
      <c r="H16" s="366" t="s">
        <v>279</v>
      </c>
      <c r="I16" s="367">
        <f>U13</f>
        <v>20.1435</v>
      </c>
      <c r="M16" s="366" t="s">
        <v>279</v>
      </c>
      <c r="N16" s="365">
        <f>U13</f>
        <v>20.1435</v>
      </c>
      <c r="O16" s="107"/>
      <c r="P16" s="107"/>
      <c r="Q16" s="107"/>
      <c r="R16" s="107"/>
      <c r="S16" s="107"/>
      <c r="T16" s="33"/>
      <c r="U16" s="376">
        <f>N34</f>
        <v>16.652999999999999</v>
      </c>
      <c r="V16" s="375" t="s">
        <v>285</v>
      </c>
      <c r="W16" s="374" t="s">
        <v>87</v>
      </c>
    </row>
    <row r="17" spans="2:23" x14ac:dyDescent="0.2">
      <c r="I17" s="15"/>
      <c r="K17" s="361"/>
      <c r="M17" s="363" t="s">
        <v>280</v>
      </c>
      <c r="N17" s="424">
        <f>M12</f>
        <v>5.7026666666666666</v>
      </c>
      <c r="U17" s="376">
        <f>N43</f>
        <v>24.375</v>
      </c>
      <c r="V17" s="375" t="s">
        <v>284</v>
      </c>
      <c r="W17" s="374" t="s">
        <v>87</v>
      </c>
    </row>
    <row r="18" spans="2:23" ht="13.5" thickBot="1" x14ac:dyDescent="0.25">
      <c r="D18" s="107"/>
      <c r="E18" s="107"/>
      <c r="F18" s="107"/>
      <c r="G18" s="107"/>
      <c r="H18" s="366" t="s">
        <v>279</v>
      </c>
      <c r="I18" s="367">
        <f>U12</f>
        <v>19.149000000000001</v>
      </c>
      <c r="K18" s="361"/>
      <c r="M18" s="366" t="s">
        <v>279</v>
      </c>
      <c r="N18" s="365">
        <f>U12</f>
        <v>19.149000000000001</v>
      </c>
      <c r="O18" s="107"/>
      <c r="P18" s="107"/>
      <c r="Q18" s="107"/>
      <c r="R18" s="107"/>
      <c r="S18" s="33"/>
      <c r="U18" s="427">
        <f>H11</f>
        <v>2</v>
      </c>
      <c r="V18" s="372" t="s">
        <v>283</v>
      </c>
      <c r="W18" s="371"/>
    </row>
    <row r="19" spans="2:23" ht="13.5" thickBot="1" x14ac:dyDescent="0.25">
      <c r="I19" s="15"/>
      <c r="K19" s="361"/>
      <c r="M19" s="363" t="s">
        <v>280</v>
      </c>
      <c r="N19" s="424">
        <f>M12</f>
        <v>5.7026666666666666</v>
      </c>
      <c r="U19" s="426">
        <f>SUM(N28:N43)+N23+N21+N19+N17</f>
        <v>77.135413333333346</v>
      </c>
      <c r="V19" s="369" t="s">
        <v>33</v>
      </c>
      <c r="W19" s="368"/>
    </row>
    <row r="20" spans="2:23" ht="13.5" thickBot="1" x14ac:dyDescent="0.25">
      <c r="E20" s="107"/>
      <c r="F20" s="107"/>
      <c r="G20" s="107"/>
      <c r="H20" s="366" t="s">
        <v>279</v>
      </c>
      <c r="I20" s="367">
        <f>U11</f>
        <v>18.446999999999999</v>
      </c>
      <c r="K20" s="361"/>
      <c r="M20" s="366" t="s">
        <v>279</v>
      </c>
      <c r="N20" s="365">
        <f>U11</f>
        <v>18.446999999999999</v>
      </c>
      <c r="O20" s="107"/>
      <c r="P20" s="107"/>
      <c r="Q20" s="107"/>
    </row>
    <row r="21" spans="2:23" x14ac:dyDescent="0.2">
      <c r="I21" s="15"/>
      <c r="K21" s="361"/>
      <c r="M21" s="363" t="s">
        <v>280</v>
      </c>
      <c r="N21" s="424">
        <f>M12</f>
        <v>5.7026666666666666</v>
      </c>
      <c r="U21" s="1" t="s">
        <v>282</v>
      </c>
    </row>
    <row r="22" spans="2:23" ht="13.5" thickBot="1" x14ac:dyDescent="0.25">
      <c r="F22" s="107"/>
      <c r="G22" s="107"/>
      <c r="H22" s="366" t="s">
        <v>279</v>
      </c>
      <c r="I22" s="367">
        <f>U10</f>
        <v>17.8035</v>
      </c>
      <c r="K22" s="361"/>
      <c r="M22" s="366" t="s">
        <v>279</v>
      </c>
      <c r="N22" s="365">
        <f>U10</f>
        <v>17.8035</v>
      </c>
      <c r="O22" s="107"/>
      <c r="P22" s="107"/>
      <c r="U22" s="1" t="s">
        <v>281</v>
      </c>
    </row>
    <row r="23" spans="2:23" x14ac:dyDescent="0.2">
      <c r="I23" s="15"/>
      <c r="K23" s="361"/>
      <c r="M23" s="363" t="s">
        <v>280</v>
      </c>
      <c r="N23" s="424">
        <f>M12+M12*0.28</f>
        <v>7.2994133333333338</v>
      </c>
    </row>
    <row r="24" spans="2:23" x14ac:dyDescent="0.2">
      <c r="I24" s="15"/>
      <c r="K24" s="361"/>
      <c r="N24" s="425"/>
    </row>
    <row r="25" spans="2:23" ht="13.5" thickBot="1" x14ac:dyDescent="0.25">
      <c r="E25" s="107"/>
      <c r="F25" s="107"/>
      <c r="G25" s="107"/>
      <c r="H25" s="366" t="s">
        <v>279</v>
      </c>
      <c r="I25" s="367">
        <f>U9</f>
        <v>18.505500000000001</v>
      </c>
      <c r="K25" s="361"/>
      <c r="M25" s="366" t="s">
        <v>279</v>
      </c>
      <c r="N25" s="365">
        <f>U9</f>
        <v>18.505500000000001</v>
      </c>
      <c r="O25" s="107"/>
      <c r="P25" s="107"/>
      <c r="Q25" s="107"/>
    </row>
    <row r="26" spans="2:23" x14ac:dyDescent="0.2">
      <c r="B26" s="1" t="s">
        <v>278</v>
      </c>
      <c r="K26" s="361"/>
      <c r="M26" s="364">
        <f>U18</f>
        <v>2</v>
      </c>
      <c r="N26" s="1" t="s">
        <v>277</v>
      </c>
    </row>
    <row r="27" spans="2:23" x14ac:dyDescent="0.2">
      <c r="K27" s="361"/>
    </row>
    <row r="28" spans="2:23" x14ac:dyDescent="0.2">
      <c r="K28" s="361"/>
      <c r="M28" s="363" t="s">
        <v>87</v>
      </c>
      <c r="N28" s="424">
        <f>U4*0.3</f>
        <v>11.7</v>
      </c>
      <c r="U28" s="1" t="s">
        <v>11</v>
      </c>
    </row>
    <row r="29" spans="2:23" x14ac:dyDescent="0.2">
      <c r="K29" s="361"/>
      <c r="N29" s="158"/>
      <c r="R29" s="1" t="s">
        <v>314</v>
      </c>
    </row>
    <row r="30" spans="2:23" ht="13.5" thickBot="1" x14ac:dyDescent="0.25">
      <c r="H30" s="107"/>
      <c r="I30" s="359">
        <f>U6</f>
        <v>38.797199999999997</v>
      </c>
      <c r="J30" s="107"/>
      <c r="K30" s="360"/>
      <c r="L30" s="107"/>
      <c r="M30" s="107"/>
      <c r="N30" s="423"/>
    </row>
    <row r="31" spans="2:23" x14ac:dyDescent="0.2">
      <c r="K31" s="361"/>
      <c r="N31" s="158"/>
    </row>
    <row r="32" spans="2:23" x14ac:dyDescent="0.2">
      <c r="K32" s="361"/>
      <c r="N32" s="158"/>
    </row>
    <row r="33" spans="8:14" x14ac:dyDescent="0.2">
      <c r="K33" s="361"/>
      <c r="N33" s="158"/>
    </row>
    <row r="34" spans="8:14" x14ac:dyDescent="0.2">
      <c r="K34" s="361"/>
      <c r="M34" s="363" t="s">
        <v>87</v>
      </c>
      <c r="N34" s="424">
        <f>U4*0.427</f>
        <v>16.652999999999999</v>
      </c>
    </row>
    <row r="35" spans="8:14" x14ac:dyDescent="0.2">
      <c r="K35" s="361"/>
      <c r="N35" s="158"/>
    </row>
    <row r="36" spans="8:14" x14ac:dyDescent="0.2">
      <c r="K36" s="361"/>
      <c r="N36" s="158"/>
    </row>
    <row r="37" spans="8:14" ht="13.5" thickBot="1" x14ac:dyDescent="0.25">
      <c r="H37" s="107"/>
      <c r="I37" s="359">
        <f>U7</f>
        <v>37.049999999999997</v>
      </c>
      <c r="J37" s="107"/>
      <c r="K37" s="360"/>
      <c r="L37" s="107"/>
      <c r="M37" s="107"/>
      <c r="N37" s="423"/>
    </row>
    <row r="38" spans="8:14" x14ac:dyDescent="0.2">
      <c r="K38" s="361"/>
      <c r="N38" s="158"/>
    </row>
    <row r="39" spans="8:14" x14ac:dyDescent="0.2">
      <c r="K39" s="361"/>
      <c r="N39" s="158"/>
    </row>
    <row r="40" spans="8:14" x14ac:dyDescent="0.2">
      <c r="K40" s="361"/>
      <c r="N40" s="158"/>
    </row>
    <row r="41" spans="8:14" x14ac:dyDescent="0.2">
      <c r="K41" s="361"/>
      <c r="N41" s="158"/>
    </row>
    <row r="42" spans="8:14" x14ac:dyDescent="0.2">
      <c r="K42" s="361"/>
      <c r="N42" s="158"/>
    </row>
    <row r="43" spans="8:14" x14ac:dyDescent="0.2">
      <c r="K43" s="361"/>
      <c r="M43" s="363" t="s">
        <v>87</v>
      </c>
      <c r="N43" s="424">
        <f>U4*0.625</f>
        <v>24.375</v>
      </c>
    </row>
    <row r="44" spans="8:14" x14ac:dyDescent="0.2">
      <c r="K44" s="361"/>
      <c r="N44" s="158"/>
    </row>
    <row r="45" spans="8:14" x14ac:dyDescent="0.2">
      <c r="K45" s="361"/>
      <c r="N45" s="158"/>
    </row>
    <row r="46" spans="8:14" x14ac:dyDescent="0.2">
      <c r="K46" s="361"/>
      <c r="N46" s="158"/>
    </row>
    <row r="47" spans="8:14" x14ac:dyDescent="0.2">
      <c r="K47" s="361"/>
      <c r="N47" s="158"/>
    </row>
    <row r="48" spans="8:14" ht="13.5" thickBot="1" x14ac:dyDescent="0.25">
      <c r="H48" s="107"/>
      <c r="I48" s="359">
        <f>U8</f>
        <v>35.411999999999999</v>
      </c>
      <c r="J48" s="107"/>
      <c r="K48" s="360"/>
      <c r="L48" s="107"/>
      <c r="M48" s="107"/>
      <c r="N48" s="423"/>
    </row>
    <row r="49" spans="14:14" x14ac:dyDescent="0.2">
      <c r="N49" s="158"/>
    </row>
    <row r="50" spans="14:14" x14ac:dyDescent="0.2">
      <c r="N50" s="158"/>
    </row>
    <row r="51" spans="14:14" x14ac:dyDescent="0.2">
      <c r="N51" s="158"/>
    </row>
    <row r="52" spans="14:14" x14ac:dyDescent="0.2">
      <c r="N52" s="158"/>
    </row>
    <row r="53" spans="14:14" x14ac:dyDescent="0.2">
      <c r="N53" s="158"/>
    </row>
  </sheetData>
  <pageMargins left="0.5" right="0.25" top="0.5" bottom="0.5" header="0.5" footer="0.5"/>
  <pageSetup scale="80" orientation="portrait" horizontalDpi="360" verticalDpi="360" r:id="rId1"/>
  <headerFooter alignWithMargins="0">
    <oddFooter>&amp;L&amp;D&amp;F&amp;R&amp;F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15</vt:i4>
      </vt:variant>
    </vt:vector>
  </HeadingPairs>
  <TitlesOfParts>
    <vt:vector size="15" baseType="lpstr">
      <vt:lpstr>2m 5-15el 50Ohm</vt:lpstr>
      <vt:lpstr>2m 6-14el TL</vt:lpstr>
      <vt:lpstr>2m 7-15el TL</vt:lpstr>
      <vt:lpstr>2m 5-10el 50Ohm</vt:lpstr>
      <vt:lpstr>1.25m 5-10el 50Ohm</vt:lpstr>
      <vt:lpstr>70cm 6-14el TL</vt:lpstr>
      <vt:lpstr>70cm 7-15el TL</vt:lpstr>
      <vt:lpstr>70cm 5-10el 50Ohm</vt:lpstr>
      <vt:lpstr>HF 5el 50Ohm</vt:lpstr>
      <vt:lpstr>10m 5el 50Ohm</vt:lpstr>
      <vt:lpstr>UHF 5el 50Ohm</vt:lpstr>
      <vt:lpstr>2m 5el 50Ohm</vt:lpstr>
      <vt:lpstr>6m 5el 50Ohm</vt:lpstr>
      <vt:lpstr>6m LogPer</vt:lpstr>
      <vt:lpstr>2m LogPer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2025-12-29T16:51:33Z</dcterms:modified>
</cp:coreProperties>
</file>